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-120" yWindow="-120" windowWidth="20730" windowHeight="11160" firstSheet="10" activeTab="13"/>
  </bookViews>
  <sheets>
    <sheet name="ENERO 2021" sheetId="28" r:id="rId1"/>
    <sheet name=" FEBRERO 2021" sheetId="32" r:id="rId2"/>
    <sheet name=" MARZO 2021" sheetId="34" r:id="rId3"/>
    <sheet name="ABRIL 2021" sheetId="35" r:id="rId4"/>
    <sheet name="MAYO 2021" sheetId="36" r:id="rId5"/>
    <sheet name="MAYO 2021 OK" sheetId="39" r:id="rId6"/>
    <sheet name=" JUNIO 2021" sheetId="40" r:id="rId7"/>
    <sheet name="JULIO 2021 SIN REPO" sheetId="41" r:id="rId8"/>
    <sheet name="JULIO 2021 CON REPO" sheetId="43" r:id="rId9"/>
    <sheet name="AGOSTO 2021" sheetId="42" r:id="rId10"/>
    <sheet name="SEPTIEMBRE 2021" sheetId="44" r:id="rId11"/>
    <sheet name="OCTUBRE 2021" sheetId="45" r:id="rId12"/>
    <sheet name="NOVIEMBRE 2021" sheetId="46" r:id="rId13"/>
    <sheet name="DICIEMBRE 2021" sheetId="47" r:id="rId14"/>
  </sheets>
  <definedNames>
    <definedName name="_xlnm.Print_Area" localSheetId="1">' FEBRERO 2021'!$A$3:$N$34</definedName>
    <definedName name="_xlnm.Print_Area" localSheetId="6">' JUNIO 2021'!$A$3:$N$35</definedName>
    <definedName name="_xlnm.Print_Area" localSheetId="2">' MARZO 2021'!$A$3:$N$34</definedName>
    <definedName name="_xlnm.Print_Area" localSheetId="3">'ABRIL 2021'!$A$3:$N$34</definedName>
    <definedName name="_xlnm.Print_Area" localSheetId="9">'AGOSTO 2021'!$A$3:$N$35</definedName>
    <definedName name="_xlnm.Print_Area" localSheetId="13">'DICIEMBRE 2021'!$B$3:$O$35</definedName>
    <definedName name="_xlnm.Print_Area" localSheetId="0">'ENERO 2021'!$A$3:$N$34</definedName>
    <definedName name="_xlnm.Print_Area" localSheetId="8">'JULIO 2021 CON REPO'!$A$3:$N$35</definedName>
    <definedName name="_xlnm.Print_Area" localSheetId="7">'JULIO 2021 SIN REPO'!$A$3:$N$35</definedName>
    <definedName name="_xlnm.Print_Area" localSheetId="4">'MAYO 2021'!$A$3:$N$35</definedName>
    <definedName name="_xlnm.Print_Area" localSheetId="5">'MAYO 2021 OK'!$A$3:$N$35</definedName>
    <definedName name="_xlnm.Print_Area" localSheetId="12">'NOVIEMBRE 2021'!$A$3:$N$35</definedName>
    <definedName name="_xlnm.Print_Area" localSheetId="11">'OCTUBRE 2021'!$A$3:$N$35</definedName>
    <definedName name="_xlnm.Print_Area" localSheetId="10">'SEPTIEMBRE 2021'!$A$3:$N$35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9" i="46" l="1"/>
  <c r="J19" i="45"/>
  <c r="J26" i="45"/>
  <c r="H19" i="45"/>
  <c r="K19" i="45"/>
  <c r="L24" i="47"/>
  <c r="K19" i="47"/>
  <c r="I19" i="47"/>
  <c r="D19" i="47"/>
  <c r="H19" i="46"/>
  <c r="C19" i="46"/>
  <c r="E35" i="45"/>
  <c r="G19" i="45"/>
  <c r="H19" i="44"/>
  <c r="C19" i="45"/>
  <c r="J47" i="47" l="1"/>
  <c r="J46" i="47"/>
  <c r="J45" i="47"/>
  <c r="J35" i="47"/>
  <c r="F35" i="47"/>
  <c r="D35" i="47"/>
  <c r="C35" i="47"/>
  <c r="K34" i="47"/>
  <c r="L34" i="47" s="1"/>
  <c r="M34" i="47" s="1"/>
  <c r="H34" i="47"/>
  <c r="N34" i="47" s="1"/>
  <c r="L33" i="47"/>
  <c r="N33" i="47" s="1"/>
  <c r="H33" i="47"/>
  <c r="M33" i="47" s="1"/>
  <c r="L32" i="47"/>
  <c r="I35" i="47"/>
  <c r="H32" i="47"/>
  <c r="M32" i="47" s="1"/>
  <c r="L31" i="47"/>
  <c r="H31" i="47"/>
  <c r="N31" i="47" s="1"/>
  <c r="L30" i="47"/>
  <c r="H30" i="47"/>
  <c r="G30" i="47"/>
  <c r="O29" i="47"/>
  <c r="L29" i="47"/>
  <c r="H29" i="47"/>
  <c r="G29" i="47"/>
  <c r="O28" i="47"/>
  <c r="L28" i="47"/>
  <c r="H28" i="47"/>
  <c r="G28" i="47"/>
  <c r="L27" i="47"/>
  <c r="N27" i="47" s="1"/>
  <c r="H27" i="47"/>
  <c r="M27" i="47" s="1"/>
  <c r="O26" i="47"/>
  <c r="L26" i="47"/>
  <c r="H26" i="47"/>
  <c r="G26" i="47"/>
  <c r="O25" i="47"/>
  <c r="L25" i="47"/>
  <c r="H25" i="47"/>
  <c r="G25" i="47"/>
  <c r="O24" i="47"/>
  <c r="H24" i="47"/>
  <c r="N24" i="47" s="1"/>
  <c r="G24" i="47"/>
  <c r="O23" i="47"/>
  <c r="L23" i="47"/>
  <c r="H23" i="47"/>
  <c r="N23" i="47" s="1"/>
  <c r="G23" i="47"/>
  <c r="O22" i="47"/>
  <c r="L22" i="47"/>
  <c r="H22" i="47"/>
  <c r="G22" i="47"/>
  <c r="O21" i="47"/>
  <c r="L21" i="47"/>
  <c r="H21" i="47"/>
  <c r="N21" i="47" s="1"/>
  <c r="G21" i="47"/>
  <c r="O20" i="47"/>
  <c r="K35" i="47"/>
  <c r="H20" i="47"/>
  <c r="G20" i="47"/>
  <c r="O19" i="47"/>
  <c r="L19" i="47"/>
  <c r="H19" i="47"/>
  <c r="N30" i="47" l="1"/>
  <c r="N29" i="47"/>
  <c r="N28" i="47"/>
  <c r="N22" i="47"/>
  <c r="M19" i="47"/>
  <c r="M26" i="47"/>
  <c r="M25" i="47"/>
  <c r="N26" i="47"/>
  <c r="N19" i="47"/>
  <c r="M21" i="47"/>
  <c r="M22" i="47"/>
  <c r="M23" i="47"/>
  <c r="M24" i="47"/>
  <c r="N25" i="47"/>
  <c r="M28" i="47"/>
  <c r="M29" i="47"/>
  <c r="M30" i="47"/>
  <c r="M31" i="47"/>
  <c r="N32" i="47"/>
  <c r="H35" i="47"/>
  <c r="L20" i="47"/>
  <c r="M20" i="47" s="1"/>
  <c r="G32" i="46"/>
  <c r="H32" i="46"/>
  <c r="K32" i="46" s="1"/>
  <c r="J20" i="46"/>
  <c r="J26" i="46"/>
  <c r="J25" i="46"/>
  <c r="K25" i="46" s="1"/>
  <c r="I47" i="46"/>
  <c r="I46" i="46"/>
  <c r="I45" i="46"/>
  <c r="I35" i="46"/>
  <c r="H35" i="46"/>
  <c r="E35" i="46"/>
  <c r="D35" i="46"/>
  <c r="C35" i="46"/>
  <c r="B35" i="46"/>
  <c r="J34" i="46"/>
  <c r="K34" i="46" s="1"/>
  <c r="L34" i="46" s="1"/>
  <c r="G34" i="46"/>
  <c r="K33" i="46"/>
  <c r="M33" i="46" s="1"/>
  <c r="G33" i="46"/>
  <c r="L33" i="46" s="1"/>
  <c r="K31" i="46"/>
  <c r="M31" i="46" s="1"/>
  <c r="G31" i="46"/>
  <c r="L31" i="46" s="1"/>
  <c r="K30" i="46"/>
  <c r="G30" i="46"/>
  <c r="L30" i="46" s="1"/>
  <c r="F30" i="46"/>
  <c r="N29" i="46"/>
  <c r="K29" i="46"/>
  <c r="G29" i="46"/>
  <c r="M29" i="46" s="1"/>
  <c r="F29" i="46"/>
  <c r="N28" i="46"/>
  <c r="K28" i="46"/>
  <c r="G28" i="46"/>
  <c r="M28" i="46" s="1"/>
  <c r="F28" i="46"/>
  <c r="K27" i="46"/>
  <c r="M27" i="46" s="1"/>
  <c r="G27" i="46"/>
  <c r="L27" i="46" s="1"/>
  <c r="N26" i="46"/>
  <c r="K26" i="46"/>
  <c r="G26" i="46"/>
  <c r="F26" i="46"/>
  <c r="N25" i="46"/>
  <c r="G25" i="46"/>
  <c r="F25" i="46"/>
  <c r="N24" i="46"/>
  <c r="K24" i="46"/>
  <c r="G24" i="46"/>
  <c r="F24" i="46"/>
  <c r="N23" i="46"/>
  <c r="K23" i="46"/>
  <c r="G23" i="46"/>
  <c r="M23" i="46" s="1"/>
  <c r="F23" i="46"/>
  <c r="N22" i="46"/>
  <c r="K22" i="46"/>
  <c r="G22" i="46"/>
  <c r="M22" i="46" s="1"/>
  <c r="F22" i="46"/>
  <c r="N21" i="46"/>
  <c r="K21" i="46"/>
  <c r="L21" i="46" s="1"/>
  <c r="G21" i="46"/>
  <c r="F21" i="46"/>
  <c r="N20" i="46"/>
  <c r="K20" i="46"/>
  <c r="J35" i="46"/>
  <c r="G20" i="46"/>
  <c r="L20" i="46" s="1"/>
  <c r="F20" i="46"/>
  <c r="N19" i="46"/>
  <c r="K19" i="46"/>
  <c r="G19" i="46"/>
  <c r="J21" i="45"/>
  <c r="J20" i="45"/>
  <c r="J25" i="45"/>
  <c r="I30" i="45"/>
  <c r="M19" i="46" l="1"/>
  <c r="M35" i="47"/>
  <c r="N20" i="47"/>
  <c r="N35" i="47" s="1"/>
  <c r="L35" i="47"/>
  <c r="M32" i="46"/>
  <c r="L32" i="46"/>
  <c r="M26" i="46"/>
  <c r="K35" i="46"/>
  <c r="L25" i="46"/>
  <c r="M24" i="46"/>
  <c r="L26" i="46"/>
  <c r="M21" i="46"/>
  <c r="M34" i="46"/>
  <c r="L19" i="46"/>
  <c r="M20" i="46"/>
  <c r="L22" i="46"/>
  <c r="L23" i="46"/>
  <c r="L24" i="46"/>
  <c r="M25" i="46"/>
  <c r="L28" i="46"/>
  <c r="L29" i="46"/>
  <c r="M30" i="46"/>
  <c r="G35" i="46"/>
  <c r="I47" i="45"/>
  <c r="I46" i="45"/>
  <c r="I45" i="45"/>
  <c r="I35" i="45"/>
  <c r="D35" i="45"/>
  <c r="B35" i="45"/>
  <c r="J34" i="45"/>
  <c r="K34" i="45" s="1"/>
  <c r="G34" i="45"/>
  <c r="K33" i="45"/>
  <c r="G33" i="45"/>
  <c r="K32" i="45"/>
  <c r="G32" i="45"/>
  <c r="K31" i="45"/>
  <c r="G31" i="45"/>
  <c r="M31" i="45" s="1"/>
  <c r="K30" i="45"/>
  <c r="G30" i="45"/>
  <c r="M30" i="45" s="1"/>
  <c r="F30" i="45"/>
  <c r="N29" i="45"/>
  <c r="K29" i="45"/>
  <c r="G29" i="45"/>
  <c r="M29" i="45" s="1"/>
  <c r="F29" i="45"/>
  <c r="N28" i="45"/>
  <c r="K28" i="45"/>
  <c r="G28" i="45"/>
  <c r="M28" i="45" s="1"/>
  <c r="F28" i="45"/>
  <c r="K27" i="45"/>
  <c r="M27" i="45" s="1"/>
  <c r="G27" i="45"/>
  <c r="L27" i="45" s="1"/>
  <c r="N26" i="45"/>
  <c r="K26" i="45"/>
  <c r="G26" i="45"/>
  <c r="F26" i="45"/>
  <c r="N25" i="45"/>
  <c r="K25" i="45"/>
  <c r="G25" i="45"/>
  <c r="F25" i="45"/>
  <c r="N24" i="45"/>
  <c r="K24" i="45"/>
  <c r="G24" i="45"/>
  <c r="L24" i="45" s="1"/>
  <c r="F24" i="45"/>
  <c r="N23" i="45"/>
  <c r="K23" i="45"/>
  <c r="G23" i="45"/>
  <c r="L23" i="45" s="1"/>
  <c r="F23" i="45"/>
  <c r="N22" i="45"/>
  <c r="K22" i="45"/>
  <c r="G22" i="45"/>
  <c r="F22" i="45"/>
  <c r="N21" i="45"/>
  <c r="K21" i="45"/>
  <c r="G21" i="45"/>
  <c r="F21" i="45"/>
  <c r="N20" i="45"/>
  <c r="K20" i="45"/>
  <c r="G20" i="45"/>
  <c r="F20" i="45"/>
  <c r="N19" i="45"/>
  <c r="J35" i="45"/>
  <c r="H35" i="45"/>
  <c r="C35" i="45"/>
  <c r="M35" i="46" l="1"/>
  <c r="L35" i="46"/>
  <c r="L22" i="45"/>
  <c r="M26" i="45"/>
  <c r="L32" i="45"/>
  <c r="L33" i="45"/>
  <c r="L21" i="45"/>
  <c r="M25" i="45"/>
  <c r="M24" i="45"/>
  <c r="M23" i="45"/>
  <c r="L20" i="45"/>
  <c r="M20" i="45"/>
  <c r="M34" i="45"/>
  <c r="K35" i="45"/>
  <c r="M21" i="45"/>
  <c r="M22" i="45"/>
  <c r="L25" i="45"/>
  <c r="L26" i="45"/>
  <c r="L28" i="45"/>
  <c r="L29" i="45"/>
  <c r="L30" i="45"/>
  <c r="L31" i="45"/>
  <c r="M32" i="45"/>
  <c r="M33" i="45"/>
  <c r="L34" i="45"/>
  <c r="L20" i="44"/>
  <c r="L21" i="44"/>
  <c r="L22" i="44"/>
  <c r="L23" i="44"/>
  <c r="L24" i="44"/>
  <c r="L25" i="44"/>
  <c r="L27" i="44"/>
  <c r="L28" i="44"/>
  <c r="L29" i="44"/>
  <c r="L30" i="44"/>
  <c r="L31" i="44"/>
  <c r="L32" i="44"/>
  <c r="L33" i="44"/>
  <c r="L34" i="44"/>
  <c r="M20" i="44"/>
  <c r="M21" i="44"/>
  <c r="M22" i="44"/>
  <c r="M23" i="44"/>
  <c r="M24" i="44"/>
  <c r="M25" i="44"/>
  <c r="M26" i="44"/>
  <c r="M27" i="44"/>
  <c r="M28" i="44"/>
  <c r="M29" i="44"/>
  <c r="M30" i="44"/>
  <c r="M31" i="44"/>
  <c r="M32" i="44"/>
  <c r="M33" i="44"/>
  <c r="M34" i="44"/>
  <c r="K20" i="44"/>
  <c r="K21" i="44"/>
  <c r="K22" i="44"/>
  <c r="K23" i="44"/>
  <c r="K24" i="44"/>
  <c r="K25" i="44"/>
  <c r="K26" i="44"/>
  <c r="L26" i="44" s="1"/>
  <c r="K27" i="44"/>
  <c r="K28" i="44"/>
  <c r="K29" i="44"/>
  <c r="K30" i="44"/>
  <c r="K31" i="44"/>
  <c r="K32" i="44"/>
  <c r="K33" i="44"/>
  <c r="K34" i="44"/>
  <c r="K19" i="44"/>
  <c r="G26" i="44"/>
  <c r="G25" i="44"/>
  <c r="N19" i="44"/>
  <c r="K35" i="44"/>
  <c r="J35" i="44"/>
  <c r="G19" i="44"/>
  <c r="J21" i="44"/>
  <c r="J20" i="44"/>
  <c r="J25" i="44"/>
  <c r="J19" i="44"/>
  <c r="H32" i="44"/>
  <c r="E35" i="44"/>
  <c r="J25" i="42"/>
  <c r="J25" i="43"/>
  <c r="L19" i="45" l="1"/>
  <c r="L35" i="45" s="1"/>
  <c r="G35" i="45"/>
  <c r="M19" i="45"/>
  <c r="M35" i="45" s="1"/>
  <c r="F19" i="43"/>
  <c r="F19" i="42"/>
  <c r="F19" i="44"/>
  <c r="M19" i="44"/>
  <c r="C19" i="44"/>
  <c r="J19" i="42"/>
  <c r="H35" i="42"/>
  <c r="E35" i="42"/>
  <c r="L19" i="44" l="1"/>
  <c r="G19" i="42"/>
  <c r="H19" i="42"/>
  <c r="K19" i="42"/>
  <c r="J20" i="42"/>
  <c r="C19" i="42"/>
  <c r="M19" i="42" l="1"/>
  <c r="L19" i="42"/>
  <c r="H35" i="44"/>
  <c r="I47" i="44"/>
  <c r="I46" i="44"/>
  <c r="I45" i="44"/>
  <c r="I35" i="44"/>
  <c r="D35" i="44"/>
  <c r="C35" i="44"/>
  <c r="B35" i="44"/>
  <c r="J34" i="44"/>
  <c r="G34" i="44"/>
  <c r="G33" i="44"/>
  <c r="G32" i="44"/>
  <c r="G31" i="44"/>
  <c r="G30" i="44"/>
  <c r="F30" i="44"/>
  <c r="N29" i="44"/>
  <c r="G29" i="44"/>
  <c r="F29" i="44"/>
  <c r="N28" i="44"/>
  <c r="G28" i="44"/>
  <c r="F28" i="44"/>
  <c r="G27" i="44"/>
  <c r="N26" i="44"/>
  <c r="F26" i="44"/>
  <c r="N25" i="44"/>
  <c r="F25" i="44"/>
  <c r="N24" i="44"/>
  <c r="G24" i="44"/>
  <c r="F24" i="44"/>
  <c r="N23" i="44"/>
  <c r="G23" i="44"/>
  <c r="F23" i="44"/>
  <c r="N22" i="44"/>
  <c r="G22" i="44"/>
  <c r="F22" i="44"/>
  <c r="N21" i="44"/>
  <c r="G21" i="44"/>
  <c r="F21" i="44"/>
  <c r="N20" i="44"/>
  <c r="G20" i="44"/>
  <c r="F20" i="44"/>
  <c r="G35" i="44" l="1"/>
  <c r="C35" i="42"/>
  <c r="H32" i="42"/>
  <c r="M35" i="44" l="1"/>
  <c r="L35" i="44"/>
  <c r="J21" i="42"/>
  <c r="H19" i="43"/>
  <c r="H35" i="43"/>
  <c r="J19" i="43"/>
  <c r="J19" i="40"/>
  <c r="G19" i="43"/>
  <c r="N19" i="43"/>
  <c r="K19" i="43"/>
  <c r="C19" i="43"/>
  <c r="I47" i="43"/>
  <c r="I46" i="43"/>
  <c r="I45" i="43"/>
  <c r="I35" i="43"/>
  <c r="E35" i="43"/>
  <c r="D35" i="43"/>
  <c r="C35" i="43"/>
  <c r="B35" i="43"/>
  <c r="J34" i="43"/>
  <c r="K34" i="43" s="1"/>
  <c r="G34" i="43"/>
  <c r="M34" i="43" s="1"/>
  <c r="K33" i="43"/>
  <c r="G33" i="43"/>
  <c r="L33" i="43" s="1"/>
  <c r="H32" i="43"/>
  <c r="G32" i="43"/>
  <c r="K31" i="43"/>
  <c r="G31" i="43"/>
  <c r="M31" i="43" s="1"/>
  <c r="K30" i="43"/>
  <c r="G30" i="43"/>
  <c r="M30" i="43" s="1"/>
  <c r="F30" i="43"/>
  <c r="N29" i="43"/>
  <c r="K29" i="43"/>
  <c r="G29" i="43"/>
  <c r="M29" i="43" s="1"/>
  <c r="F29" i="43"/>
  <c r="N28" i="43"/>
  <c r="K28" i="43"/>
  <c r="G28" i="43"/>
  <c r="M28" i="43" s="1"/>
  <c r="F28" i="43"/>
  <c r="K27" i="43"/>
  <c r="G27" i="43"/>
  <c r="L27" i="43" s="1"/>
  <c r="N26" i="43"/>
  <c r="K26" i="43"/>
  <c r="G26" i="43"/>
  <c r="M26" i="43" s="1"/>
  <c r="F26" i="43"/>
  <c r="N25" i="43"/>
  <c r="K25" i="43"/>
  <c r="G25" i="43"/>
  <c r="F25" i="43"/>
  <c r="N24" i="43"/>
  <c r="K24" i="43"/>
  <c r="G24" i="43"/>
  <c r="L24" i="43" s="1"/>
  <c r="F24" i="43"/>
  <c r="N23" i="43"/>
  <c r="K23" i="43"/>
  <c r="G23" i="43"/>
  <c r="L23" i="43" s="1"/>
  <c r="F23" i="43"/>
  <c r="N22" i="43"/>
  <c r="K22" i="43"/>
  <c r="G22" i="43"/>
  <c r="L22" i="43" s="1"/>
  <c r="F22" i="43"/>
  <c r="N21" i="43"/>
  <c r="K21" i="43"/>
  <c r="G21" i="43"/>
  <c r="L21" i="43" s="1"/>
  <c r="F21" i="43"/>
  <c r="N20" i="43"/>
  <c r="K20" i="43"/>
  <c r="J20" i="43"/>
  <c r="J35" i="43" s="1"/>
  <c r="G20" i="43"/>
  <c r="L20" i="43" s="1"/>
  <c r="F20" i="43"/>
  <c r="J25" i="41"/>
  <c r="J20" i="41"/>
  <c r="G30" i="41"/>
  <c r="G30" i="42"/>
  <c r="G28" i="42"/>
  <c r="L30" i="42"/>
  <c r="K30" i="42"/>
  <c r="L19" i="43" l="1"/>
  <c r="M19" i="43"/>
  <c r="M25" i="43"/>
  <c r="M20" i="43"/>
  <c r="M21" i="43"/>
  <c r="M22" i="43"/>
  <c r="M23" i="43"/>
  <c r="M24" i="43"/>
  <c r="L25" i="43"/>
  <c r="L35" i="43" s="1"/>
  <c r="L26" i="43"/>
  <c r="M27" i="43"/>
  <c r="L28" i="43"/>
  <c r="L29" i="43"/>
  <c r="L30" i="43"/>
  <c r="L31" i="43"/>
  <c r="K32" i="43"/>
  <c r="L32" i="43" s="1"/>
  <c r="M33" i="43"/>
  <c r="L34" i="43"/>
  <c r="G35" i="43"/>
  <c r="M32" i="43" l="1"/>
  <c r="M35" i="43" s="1"/>
  <c r="K35" i="43"/>
  <c r="K26" i="42"/>
  <c r="I47" i="42"/>
  <c r="I46" i="42"/>
  <c r="I45" i="42"/>
  <c r="I35" i="42"/>
  <c r="D35" i="42"/>
  <c r="B35" i="42"/>
  <c r="K34" i="42"/>
  <c r="J34" i="42"/>
  <c r="G34" i="42"/>
  <c r="M34" i="42" s="1"/>
  <c r="K33" i="42"/>
  <c r="G33" i="42"/>
  <c r="G32" i="42"/>
  <c r="K31" i="42"/>
  <c r="G31" i="42"/>
  <c r="M31" i="42" s="1"/>
  <c r="M30" i="42"/>
  <c r="F30" i="42"/>
  <c r="N29" i="42"/>
  <c r="K29" i="42"/>
  <c r="G29" i="42"/>
  <c r="M29" i="42" s="1"/>
  <c r="F29" i="42"/>
  <c r="N28" i="42"/>
  <c r="K28" i="42"/>
  <c r="F28" i="42"/>
  <c r="K27" i="42"/>
  <c r="G27" i="42"/>
  <c r="L27" i="42" s="1"/>
  <c r="N26" i="42"/>
  <c r="G26" i="42"/>
  <c r="M26" i="42" s="1"/>
  <c r="F26" i="42"/>
  <c r="N25" i="42"/>
  <c r="K25" i="42"/>
  <c r="G25" i="42"/>
  <c r="F25" i="42"/>
  <c r="N24" i="42"/>
  <c r="K24" i="42"/>
  <c r="G24" i="42"/>
  <c r="F24" i="42"/>
  <c r="N23" i="42"/>
  <c r="K23" i="42"/>
  <c r="G23" i="42"/>
  <c r="F23" i="42"/>
  <c r="N22" i="42"/>
  <c r="K22" i="42"/>
  <c r="G22" i="42"/>
  <c r="F22" i="42"/>
  <c r="N21" i="42"/>
  <c r="K21" i="42"/>
  <c r="G21" i="42"/>
  <c r="F21" i="42"/>
  <c r="N20" i="42"/>
  <c r="J35" i="42"/>
  <c r="G20" i="42"/>
  <c r="F20" i="42"/>
  <c r="M25" i="42" l="1"/>
  <c r="L21" i="42"/>
  <c r="L22" i="42"/>
  <c r="L23" i="42"/>
  <c r="L24" i="42"/>
  <c r="M28" i="42"/>
  <c r="L33" i="42"/>
  <c r="K20" i="42"/>
  <c r="M20" i="42" s="1"/>
  <c r="M21" i="42"/>
  <c r="M22" i="42"/>
  <c r="M23" i="42"/>
  <c r="M24" i="42"/>
  <c r="L25" i="42"/>
  <c r="L26" i="42"/>
  <c r="M27" i="42"/>
  <c r="L28" i="42"/>
  <c r="L29" i="42"/>
  <c r="L31" i="42"/>
  <c r="K32" i="42"/>
  <c r="L32" i="42" s="1"/>
  <c r="M33" i="42"/>
  <c r="L34" i="42"/>
  <c r="G35" i="42"/>
  <c r="M32" i="42" l="1"/>
  <c r="M35" i="42" s="1"/>
  <c r="K35" i="42"/>
  <c r="L20" i="42"/>
  <c r="L35" i="42" s="1"/>
  <c r="H32" i="41"/>
  <c r="I47" i="41"/>
  <c r="I46" i="41"/>
  <c r="I45" i="41"/>
  <c r="I35" i="41"/>
  <c r="E35" i="41"/>
  <c r="D35" i="41"/>
  <c r="B35" i="41"/>
  <c r="J34" i="41"/>
  <c r="K34" i="41" s="1"/>
  <c r="G34" i="41"/>
  <c r="K33" i="41"/>
  <c r="G33" i="41"/>
  <c r="L33" i="41" s="1"/>
  <c r="K32" i="41"/>
  <c r="G32" i="41"/>
  <c r="K31" i="41"/>
  <c r="G31" i="41"/>
  <c r="M31" i="41" s="1"/>
  <c r="K30" i="41"/>
  <c r="M30" i="41"/>
  <c r="F30" i="41"/>
  <c r="N29" i="41"/>
  <c r="K29" i="41"/>
  <c r="G29" i="41"/>
  <c r="M29" i="41" s="1"/>
  <c r="F29" i="41"/>
  <c r="N28" i="41"/>
  <c r="K28" i="41"/>
  <c r="G28" i="41"/>
  <c r="M28" i="41" s="1"/>
  <c r="F28" i="41"/>
  <c r="K27" i="41"/>
  <c r="G27" i="41"/>
  <c r="L27" i="41" s="1"/>
  <c r="N26" i="41"/>
  <c r="K26" i="41"/>
  <c r="G26" i="41"/>
  <c r="M26" i="41" s="1"/>
  <c r="F26" i="41"/>
  <c r="N25" i="41"/>
  <c r="K25" i="41"/>
  <c r="G25" i="41"/>
  <c r="F25" i="41"/>
  <c r="N24" i="41"/>
  <c r="K24" i="41"/>
  <c r="G24" i="41"/>
  <c r="L24" i="41" s="1"/>
  <c r="F24" i="41"/>
  <c r="N23" i="41"/>
  <c r="K23" i="41"/>
  <c r="G23" i="41"/>
  <c r="L23" i="41" s="1"/>
  <c r="F23" i="41"/>
  <c r="N22" i="41"/>
  <c r="K22" i="41"/>
  <c r="G22" i="41"/>
  <c r="F22" i="41"/>
  <c r="N21" i="41"/>
  <c r="K21" i="41"/>
  <c r="G21" i="41"/>
  <c r="F21" i="41"/>
  <c r="N20" i="41"/>
  <c r="K20" i="41"/>
  <c r="G20" i="41"/>
  <c r="F20" i="41"/>
  <c r="J35" i="41"/>
  <c r="C35" i="41"/>
  <c r="L20" i="41" l="1"/>
  <c r="L21" i="41"/>
  <c r="M25" i="41"/>
  <c r="H35" i="41"/>
  <c r="L32" i="41"/>
  <c r="L22" i="41"/>
  <c r="M24" i="41"/>
  <c r="M22" i="41"/>
  <c r="M23" i="41"/>
  <c r="M21" i="41"/>
  <c r="M34" i="41"/>
  <c r="K35" i="41"/>
  <c r="M20" i="41"/>
  <c r="L25" i="41"/>
  <c r="L26" i="41"/>
  <c r="M27" i="41"/>
  <c r="L28" i="41"/>
  <c r="L29" i="41"/>
  <c r="L30" i="41"/>
  <c r="L31" i="41"/>
  <c r="M32" i="41"/>
  <c r="M33" i="41"/>
  <c r="L34" i="41"/>
  <c r="H19" i="40"/>
  <c r="I47" i="40"/>
  <c r="I46" i="40"/>
  <c r="I45" i="40"/>
  <c r="I35" i="40"/>
  <c r="E35" i="40"/>
  <c r="D35" i="40"/>
  <c r="B35" i="40"/>
  <c r="J34" i="40"/>
  <c r="K34" i="40" s="1"/>
  <c r="L34" i="40" s="1"/>
  <c r="G34" i="40"/>
  <c r="M34" i="40" s="1"/>
  <c r="K33" i="40"/>
  <c r="M33" i="40" s="1"/>
  <c r="G33" i="40"/>
  <c r="L33" i="40" s="1"/>
  <c r="K32" i="40"/>
  <c r="H32" i="40"/>
  <c r="G32" i="40"/>
  <c r="L32" i="40" s="1"/>
  <c r="K31" i="40"/>
  <c r="G31" i="40"/>
  <c r="M31" i="40" s="1"/>
  <c r="K30" i="40"/>
  <c r="G30" i="40"/>
  <c r="M30" i="40" s="1"/>
  <c r="F30" i="40"/>
  <c r="N29" i="40"/>
  <c r="K29" i="40"/>
  <c r="G29" i="40"/>
  <c r="M29" i="40" s="1"/>
  <c r="F29" i="40"/>
  <c r="N28" i="40"/>
  <c r="K28" i="40"/>
  <c r="G28" i="40"/>
  <c r="M28" i="40" s="1"/>
  <c r="F28" i="40"/>
  <c r="K27" i="40"/>
  <c r="M27" i="40" s="1"/>
  <c r="G27" i="40"/>
  <c r="L27" i="40" s="1"/>
  <c r="N26" i="40"/>
  <c r="K26" i="40"/>
  <c r="G26" i="40"/>
  <c r="M26" i="40" s="1"/>
  <c r="F26" i="40"/>
  <c r="N25" i="40"/>
  <c r="J25" i="40"/>
  <c r="K25" i="40" s="1"/>
  <c r="L25" i="40" s="1"/>
  <c r="G25" i="40"/>
  <c r="F25" i="40"/>
  <c r="N24" i="40"/>
  <c r="K24" i="40"/>
  <c r="M24" i="40" s="1"/>
  <c r="G24" i="40"/>
  <c r="L24" i="40" s="1"/>
  <c r="F24" i="40"/>
  <c r="N23" i="40"/>
  <c r="K23" i="40"/>
  <c r="M23" i="40" s="1"/>
  <c r="G23" i="40"/>
  <c r="L23" i="40" s="1"/>
  <c r="F23" i="40"/>
  <c r="N22" i="40"/>
  <c r="K22" i="40"/>
  <c r="M22" i="40" s="1"/>
  <c r="G22" i="40"/>
  <c r="L22" i="40" s="1"/>
  <c r="F22" i="40"/>
  <c r="N21" i="40"/>
  <c r="K21" i="40"/>
  <c r="M21" i="40" s="1"/>
  <c r="G21" i="40"/>
  <c r="L21" i="40" s="1"/>
  <c r="F21" i="40"/>
  <c r="N20" i="40"/>
  <c r="K20" i="40"/>
  <c r="J20" i="40"/>
  <c r="G20" i="40"/>
  <c r="L20" i="40" s="1"/>
  <c r="F20" i="40"/>
  <c r="J35" i="40"/>
  <c r="H35" i="40"/>
  <c r="C19" i="40"/>
  <c r="C35" i="40" s="1"/>
  <c r="H19" i="39"/>
  <c r="I47" i="39"/>
  <c r="I46" i="39"/>
  <c r="I45" i="39"/>
  <c r="I35" i="39"/>
  <c r="E35" i="39"/>
  <c r="D35" i="39"/>
  <c r="B35" i="39"/>
  <c r="K34" i="39"/>
  <c r="J34" i="39"/>
  <c r="G34" i="39"/>
  <c r="L34" i="39" s="1"/>
  <c r="K33" i="39"/>
  <c r="G33" i="39"/>
  <c r="H32" i="39"/>
  <c r="K32" i="39" s="1"/>
  <c r="C32" i="39"/>
  <c r="G32" i="39" s="1"/>
  <c r="K31" i="39"/>
  <c r="G31" i="39"/>
  <c r="M31" i="39" s="1"/>
  <c r="K30" i="39"/>
  <c r="G30" i="39"/>
  <c r="M30" i="39" s="1"/>
  <c r="F30" i="39"/>
  <c r="N29" i="39"/>
  <c r="K29" i="39"/>
  <c r="G29" i="39"/>
  <c r="M29" i="39" s="1"/>
  <c r="F29" i="39"/>
  <c r="N28" i="39"/>
  <c r="K28" i="39"/>
  <c r="G28" i="39"/>
  <c r="M28" i="39" s="1"/>
  <c r="F28" i="39"/>
  <c r="K27" i="39"/>
  <c r="M27" i="39" s="1"/>
  <c r="G27" i="39"/>
  <c r="L27" i="39" s="1"/>
  <c r="N26" i="39"/>
  <c r="K26" i="39"/>
  <c r="G26" i="39"/>
  <c r="M26" i="39" s="1"/>
  <c r="F26" i="39"/>
  <c r="N25" i="39"/>
  <c r="J25" i="39"/>
  <c r="K25" i="39" s="1"/>
  <c r="L25" i="39" s="1"/>
  <c r="G25" i="39"/>
  <c r="M25" i="39" s="1"/>
  <c r="F25" i="39"/>
  <c r="N24" i="39"/>
  <c r="K24" i="39"/>
  <c r="M24" i="39" s="1"/>
  <c r="G24" i="39"/>
  <c r="L24" i="39" s="1"/>
  <c r="F24" i="39"/>
  <c r="N23" i="39"/>
  <c r="K23" i="39"/>
  <c r="M23" i="39" s="1"/>
  <c r="G23" i="39"/>
  <c r="L23" i="39" s="1"/>
  <c r="F23" i="39"/>
  <c r="N22" i="39"/>
  <c r="K22" i="39"/>
  <c r="M22" i="39" s="1"/>
  <c r="G22" i="39"/>
  <c r="L22" i="39" s="1"/>
  <c r="F22" i="39"/>
  <c r="N21" i="39"/>
  <c r="K21" i="39"/>
  <c r="M21" i="39" s="1"/>
  <c r="G21" i="39"/>
  <c r="L21" i="39" s="1"/>
  <c r="F21" i="39"/>
  <c r="N20" i="39"/>
  <c r="K20" i="39"/>
  <c r="J20" i="39"/>
  <c r="G20" i="39"/>
  <c r="L20" i="39" s="1"/>
  <c r="F20" i="39"/>
  <c r="J19" i="39"/>
  <c r="H35" i="39"/>
  <c r="C19" i="39"/>
  <c r="G19" i="39" s="1"/>
  <c r="L35" i="41" l="1"/>
  <c r="G35" i="41"/>
  <c r="M35" i="41"/>
  <c r="M25" i="40"/>
  <c r="K19" i="40"/>
  <c r="K35" i="40" s="1"/>
  <c r="M20" i="40"/>
  <c r="L26" i="40"/>
  <c r="L28" i="40"/>
  <c r="L29" i="40"/>
  <c r="L30" i="40"/>
  <c r="L31" i="40"/>
  <c r="M32" i="40"/>
  <c r="G19" i="40"/>
  <c r="M32" i="39"/>
  <c r="L32" i="39"/>
  <c r="G35" i="39"/>
  <c r="K19" i="39"/>
  <c r="K35" i="39" s="1"/>
  <c r="M20" i="39"/>
  <c r="L26" i="39"/>
  <c r="L28" i="39"/>
  <c r="L29" i="39"/>
  <c r="L30" i="39"/>
  <c r="L31" i="39"/>
  <c r="M34" i="39"/>
  <c r="C35" i="39"/>
  <c r="J35" i="39"/>
  <c r="G33" i="36"/>
  <c r="K33" i="36"/>
  <c r="L19" i="40" l="1"/>
  <c r="L35" i="40" s="1"/>
  <c r="G35" i="40"/>
  <c r="M19" i="40"/>
  <c r="M35" i="40" s="1"/>
  <c r="L19" i="39"/>
  <c r="L35" i="39" s="1"/>
  <c r="M19" i="39"/>
  <c r="M35" i="39" s="1"/>
  <c r="J25" i="36"/>
  <c r="H19" i="36"/>
  <c r="H35" i="36"/>
  <c r="J19" i="36"/>
  <c r="J19" i="35"/>
  <c r="H19" i="35"/>
  <c r="J20" i="36" l="1"/>
  <c r="E35" i="36"/>
  <c r="E34" i="35"/>
  <c r="C19" i="36"/>
  <c r="H34" i="35" l="1"/>
  <c r="J25" i="35"/>
  <c r="J19" i="34"/>
  <c r="C19" i="35" l="1"/>
  <c r="C34" i="35" s="1"/>
  <c r="H32" i="36" l="1"/>
  <c r="C32" i="36"/>
  <c r="I47" i="36"/>
  <c r="I46" i="36"/>
  <c r="I45" i="36"/>
  <c r="I35" i="36"/>
  <c r="D35" i="36"/>
  <c r="C35" i="36"/>
  <c r="B35" i="36"/>
  <c r="K34" i="36"/>
  <c r="J34" i="36"/>
  <c r="G34" i="36"/>
  <c r="M34" i="36" s="1"/>
  <c r="K32" i="36"/>
  <c r="G32" i="36"/>
  <c r="K31" i="36"/>
  <c r="G31" i="36"/>
  <c r="L31" i="36" s="1"/>
  <c r="K30" i="36"/>
  <c r="G30" i="36"/>
  <c r="F30" i="36"/>
  <c r="N29" i="36"/>
  <c r="K29" i="36"/>
  <c r="G29" i="36"/>
  <c r="F29" i="36"/>
  <c r="N28" i="36"/>
  <c r="K28" i="36"/>
  <c r="G28" i="36"/>
  <c r="F28" i="36"/>
  <c r="K27" i="36"/>
  <c r="M27" i="36" s="1"/>
  <c r="G27" i="36"/>
  <c r="L27" i="36" s="1"/>
  <c r="N26" i="36"/>
  <c r="K26" i="36"/>
  <c r="G26" i="36"/>
  <c r="F26" i="36"/>
  <c r="N25" i="36"/>
  <c r="K25" i="36"/>
  <c r="G25" i="36"/>
  <c r="F25" i="36"/>
  <c r="N24" i="36"/>
  <c r="K24" i="36"/>
  <c r="G24" i="36"/>
  <c r="F24" i="36"/>
  <c r="N23" i="36"/>
  <c r="K23" i="36"/>
  <c r="G23" i="36"/>
  <c r="F23" i="36"/>
  <c r="N22" i="36"/>
  <c r="K22" i="36"/>
  <c r="M22" i="36" s="1"/>
  <c r="G22" i="36"/>
  <c r="F22" i="36"/>
  <c r="N21" i="36"/>
  <c r="K21" i="36"/>
  <c r="G21" i="36"/>
  <c r="F21" i="36"/>
  <c r="N20" i="36"/>
  <c r="K20" i="36"/>
  <c r="J35" i="36"/>
  <c r="G20" i="36"/>
  <c r="M20" i="36" s="1"/>
  <c r="F20" i="36"/>
  <c r="K19" i="36"/>
  <c r="G19" i="36"/>
  <c r="M19" i="36" l="1"/>
  <c r="L32" i="36"/>
  <c r="L30" i="36"/>
  <c r="L29" i="36"/>
  <c r="L28" i="36"/>
  <c r="L26" i="36"/>
  <c r="L25" i="36"/>
  <c r="L24" i="36"/>
  <c r="L21" i="36"/>
  <c r="G35" i="36"/>
  <c r="M24" i="36"/>
  <c r="L22" i="36"/>
  <c r="L23" i="36"/>
  <c r="M23" i="36"/>
  <c r="M21" i="36"/>
  <c r="L19" i="36"/>
  <c r="L20" i="36"/>
  <c r="M25" i="36"/>
  <c r="M26" i="36"/>
  <c r="M28" i="36"/>
  <c r="M29" i="36"/>
  <c r="M30" i="36"/>
  <c r="M31" i="36"/>
  <c r="M32" i="36"/>
  <c r="L34" i="36"/>
  <c r="K35" i="36"/>
  <c r="J20" i="35"/>
  <c r="L32" i="34"/>
  <c r="L35" i="36" l="1"/>
  <c r="M35" i="36"/>
  <c r="I34" i="35"/>
  <c r="D34" i="35"/>
  <c r="B34" i="35"/>
  <c r="J33" i="35"/>
  <c r="K33" i="35" s="1"/>
  <c r="G33" i="35"/>
  <c r="K32" i="35"/>
  <c r="G32" i="35"/>
  <c r="L32" i="35" s="1"/>
  <c r="K31" i="35"/>
  <c r="G31" i="35"/>
  <c r="L31" i="35" s="1"/>
  <c r="K30" i="35"/>
  <c r="G30" i="35"/>
  <c r="F30" i="35"/>
  <c r="N29" i="35"/>
  <c r="K29" i="35"/>
  <c r="G29" i="35"/>
  <c r="L29" i="35" s="1"/>
  <c r="F29" i="35"/>
  <c r="N28" i="35"/>
  <c r="K28" i="35"/>
  <c r="G28" i="35"/>
  <c r="F28" i="35"/>
  <c r="K27" i="35"/>
  <c r="G27" i="35"/>
  <c r="M27" i="35" s="1"/>
  <c r="N26" i="35"/>
  <c r="K26" i="35"/>
  <c r="G26" i="35"/>
  <c r="F26" i="35"/>
  <c r="K25" i="35"/>
  <c r="N25" i="35"/>
  <c r="N24" i="35"/>
  <c r="K24" i="35"/>
  <c r="G24" i="35"/>
  <c r="L24" i="35" s="1"/>
  <c r="F24" i="35"/>
  <c r="N23" i="35"/>
  <c r="K23" i="35"/>
  <c r="G23" i="35"/>
  <c r="L23" i="35" s="1"/>
  <c r="F23" i="35"/>
  <c r="N22" i="35"/>
  <c r="K22" i="35"/>
  <c r="G22" i="35"/>
  <c r="F22" i="35"/>
  <c r="N21" i="35"/>
  <c r="K21" i="35"/>
  <c r="G21" i="35"/>
  <c r="F21" i="35"/>
  <c r="K20" i="35"/>
  <c r="G20" i="35"/>
  <c r="J34" i="35"/>
  <c r="L22" i="35" l="1"/>
  <c r="L28" i="35"/>
  <c r="L21" i="35"/>
  <c r="L30" i="35"/>
  <c r="L26" i="35"/>
  <c r="M20" i="35"/>
  <c r="L20" i="35"/>
  <c r="M33" i="35"/>
  <c r="G19" i="35"/>
  <c r="K19" i="35"/>
  <c r="K34" i="35" s="1"/>
  <c r="F20" i="35"/>
  <c r="N20" i="35"/>
  <c r="M21" i="35"/>
  <c r="M22" i="35"/>
  <c r="M23" i="35"/>
  <c r="M24" i="35"/>
  <c r="G25" i="35"/>
  <c r="M26" i="35"/>
  <c r="L27" i="35"/>
  <c r="M28" i="35"/>
  <c r="M29" i="35"/>
  <c r="M30" i="35"/>
  <c r="M31" i="35"/>
  <c r="M32" i="35"/>
  <c r="L33" i="35"/>
  <c r="F25" i="35"/>
  <c r="J33" i="34"/>
  <c r="J19" i="32"/>
  <c r="E19" i="34"/>
  <c r="E20" i="34"/>
  <c r="E25" i="34"/>
  <c r="L25" i="35" l="1"/>
  <c r="M25" i="35"/>
  <c r="L19" i="35"/>
  <c r="G34" i="35"/>
  <c r="M19" i="35"/>
  <c r="J25" i="34"/>
  <c r="J21" i="34"/>
  <c r="J20" i="34"/>
  <c r="J34" i="34" s="1"/>
  <c r="H34" i="34"/>
  <c r="C19" i="34"/>
  <c r="L34" i="35" l="1"/>
  <c r="M34" i="35"/>
  <c r="E34" i="34"/>
  <c r="I43" i="34" l="1"/>
  <c r="I42" i="34"/>
  <c r="I41" i="34"/>
  <c r="D34" i="34"/>
  <c r="B34" i="34"/>
  <c r="K33" i="34"/>
  <c r="M33" i="34" s="1"/>
  <c r="G33" i="34"/>
  <c r="K32" i="34"/>
  <c r="G32" i="34"/>
  <c r="K31" i="34"/>
  <c r="G31" i="34"/>
  <c r="K30" i="34"/>
  <c r="G30" i="34"/>
  <c r="F30" i="34"/>
  <c r="N29" i="34"/>
  <c r="K29" i="34"/>
  <c r="G29" i="34"/>
  <c r="F29" i="34"/>
  <c r="N28" i="34"/>
  <c r="K28" i="34"/>
  <c r="G28" i="34"/>
  <c r="F28" i="34"/>
  <c r="K27" i="34"/>
  <c r="G27" i="34"/>
  <c r="N26" i="34"/>
  <c r="K26" i="34"/>
  <c r="G26" i="34"/>
  <c r="F26" i="34"/>
  <c r="N25" i="34"/>
  <c r="K25" i="34"/>
  <c r="G25" i="34"/>
  <c r="F25" i="34"/>
  <c r="N24" i="34"/>
  <c r="K24" i="34"/>
  <c r="G24" i="34"/>
  <c r="F24" i="34"/>
  <c r="N23" i="34"/>
  <c r="K23" i="34"/>
  <c r="G23" i="34"/>
  <c r="F23" i="34"/>
  <c r="N22" i="34"/>
  <c r="K22" i="34"/>
  <c r="G22" i="34"/>
  <c r="F22" i="34"/>
  <c r="N21" i="34"/>
  <c r="K21" i="34"/>
  <c r="G21" i="34"/>
  <c r="F21" i="34"/>
  <c r="N20" i="34"/>
  <c r="K20" i="34"/>
  <c r="G20" i="34"/>
  <c r="F20" i="34"/>
  <c r="I34" i="34"/>
  <c r="J21" i="32"/>
  <c r="J34" i="32"/>
  <c r="J20" i="32"/>
  <c r="J25" i="32"/>
  <c r="M27" i="34" l="1"/>
  <c r="G19" i="34"/>
  <c r="G34" i="34" s="1"/>
  <c r="C34" i="34"/>
  <c r="M32" i="34"/>
  <c r="M30" i="34"/>
  <c r="M29" i="34"/>
  <c r="M28" i="34"/>
  <c r="M26" i="34"/>
  <c r="M31" i="34"/>
  <c r="L24" i="34"/>
  <c r="L22" i="34"/>
  <c r="M21" i="34"/>
  <c r="M20" i="34"/>
  <c r="M23" i="34"/>
  <c r="M24" i="34"/>
  <c r="M25" i="34"/>
  <c r="L33" i="34"/>
  <c r="L23" i="34"/>
  <c r="L27" i="34"/>
  <c r="L30" i="34"/>
  <c r="M22" i="34"/>
  <c r="L21" i="34"/>
  <c r="L26" i="34"/>
  <c r="L29" i="34"/>
  <c r="L20" i="34"/>
  <c r="K19" i="34"/>
  <c r="K34" i="34" s="1"/>
  <c r="L25" i="34"/>
  <c r="L28" i="34"/>
  <c r="L31" i="34"/>
  <c r="M19" i="34" l="1"/>
  <c r="M34" i="34" s="1"/>
  <c r="L19" i="34"/>
  <c r="L34" i="34" s="1"/>
  <c r="M26" i="32" l="1"/>
  <c r="M27" i="32"/>
  <c r="M28" i="32"/>
  <c r="M29" i="32"/>
  <c r="M31" i="32"/>
  <c r="M32" i="32"/>
  <c r="M33" i="32"/>
  <c r="L20" i="32"/>
  <c r="L22" i="32"/>
  <c r="L24" i="32"/>
  <c r="L25" i="32"/>
  <c r="L26" i="32"/>
  <c r="L27" i="32"/>
  <c r="L28" i="32"/>
  <c r="L29" i="32"/>
  <c r="L30" i="32"/>
  <c r="L31" i="32"/>
  <c r="L32" i="32"/>
  <c r="L33" i="32"/>
  <c r="L19" i="32"/>
  <c r="M20" i="32"/>
  <c r="M21" i="32"/>
  <c r="M22" i="32"/>
  <c r="M24" i="32"/>
  <c r="K27" i="32"/>
  <c r="K20" i="32"/>
  <c r="K21" i="32"/>
  <c r="L21" i="32" s="1"/>
  <c r="K22" i="32"/>
  <c r="K23" i="32"/>
  <c r="K24" i="32"/>
  <c r="K25" i="32"/>
  <c r="M25" i="32" s="1"/>
  <c r="K26" i="32"/>
  <c r="K28" i="32"/>
  <c r="K29" i="32"/>
  <c r="K30" i="32"/>
  <c r="M30" i="32" s="1"/>
  <c r="K31" i="32"/>
  <c r="K32" i="32"/>
  <c r="K33" i="32"/>
  <c r="G19" i="32"/>
  <c r="K19" i="32"/>
  <c r="G21" i="32"/>
  <c r="F21" i="32"/>
  <c r="G32" i="32"/>
  <c r="J23" i="32"/>
  <c r="E34" i="32"/>
  <c r="I19" i="32"/>
  <c r="H19" i="32"/>
  <c r="J19" i="28"/>
  <c r="I34" i="32"/>
  <c r="H34" i="32"/>
  <c r="C34" i="32"/>
  <c r="G27" i="32"/>
  <c r="C19" i="32"/>
  <c r="B34" i="32"/>
  <c r="D34" i="32"/>
  <c r="J33" i="32"/>
  <c r="G33" i="32"/>
  <c r="J20" i="28"/>
  <c r="J21" i="28"/>
  <c r="M32" i="28"/>
  <c r="L32" i="28"/>
  <c r="K27" i="28"/>
  <c r="G27" i="28"/>
  <c r="M27" i="28" s="1"/>
  <c r="K28" i="28"/>
  <c r="K29" i="28"/>
  <c r="K30" i="28"/>
  <c r="K31" i="28"/>
  <c r="K26" i="28"/>
  <c r="L27" i="28" l="1"/>
  <c r="M19" i="32"/>
  <c r="J25" i="28" l="1"/>
  <c r="J34" i="28" s="1"/>
  <c r="J33" i="28"/>
  <c r="G33" i="28"/>
  <c r="K33" i="28" l="1"/>
  <c r="L33" i="28" s="1"/>
  <c r="E25" i="28"/>
  <c r="E34" i="28"/>
  <c r="M33" i="28" l="1"/>
  <c r="I19" i="28"/>
  <c r="I34" i="28" s="1"/>
  <c r="H19" i="28"/>
  <c r="C19" i="28"/>
  <c r="K19" i="28" l="1"/>
  <c r="H34" i="28"/>
  <c r="G19" i="28"/>
  <c r="C34" i="28"/>
  <c r="M19" i="28"/>
  <c r="L19" i="28"/>
  <c r="G31" i="32"/>
  <c r="G31" i="28"/>
  <c r="D34" i="28"/>
  <c r="M31" i="28" l="1"/>
  <c r="L31" i="28"/>
  <c r="G25" i="28"/>
  <c r="K34" i="32" l="1"/>
  <c r="G30" i="32"/>
  <c r="F30" i="32"/>
  <c r="F29" i="32"/>
  <c r="G28" i="32"/>
  <c r="G26" i="32"/>
  <c r="F25" i="32"/>
  <c r="F24" i="32"/>
  <c r="F23" i="32"/>
  <c r="G22" i="32"/>
  <c r="I43" i="32"/>
  <c r="I42" i="32"/>
  <c r="I41" i="32"/>
  <c r="N29" i="32"/>
  <c r="G29" i="32"/>
  <c r="N28" i="32"/>
  <c r="F28" i="32"/>
  <c r="N26" i="32"/>
  <c r="N25" i="32"/>
  <c r="N24" i="32"/>
  <c r="N23" i="32"/>
  <c r="N22" i="32"/>
  <c r="N21" i="32"/>
  <c r="N20" i="32"/>
  <c r="G20" i="32"/>
  <c r="F20" i="32"/>
  <c r="G30" i="28"/>
  <c r="G24" i="28"/>
  <c r="L30" i="28" l="1"/>
  <c r="M30" i="28"/>
  <c r="F22" i="32"/>
  <c r="F26" i="32"/>
  <c r="G24" i="32"/>
  <c r="G25" i="32"/>
  <c r="G23" i="32"/>
  <c r="L23" i="32" l="1"/>
  <c r="M23" i="32"/>
  <c r="L34" i="32"/>
  <c r="G34" i="32"/>
  <c r="M34" i="32"/>
  <c r="G26" i="28"/>
  <c r="F26" i="28"/>
  <c r="B34" i="28" l="1"/>
  <c r="F20" i="28"/>
  <c r="G20" i="28"/>
  <c r="K20" i="28"/>
  <c r="N20" i="28"/>
  <c r="F21" i="28"/>
  <c r="G21" i="28"/>
  <c r="K21" i="28"/>
  <c r="N21" i="28"/>
  <c r="F22" i="28"/>
  <c r="G22" i="28"/>
  <c r="K22" i="28"/>
  <c r="N22" i="28"/>
  <c r="F23" i="28"/>
  <c r="G23" i="28"/>
  <c r="K23" i="28"/>
  <c r="N23" i="28"/>
  <c r="F24" i="28"/>
  <c r="K24" i="28"/>
  <c r="L24" i="28" s="1"/>
  <c r="N24" i="28"/>
  <c r="F25" i="28"/>
  <c r="K25" i="28"/>
  <c r="N25" i="28"/>
  <c r="M26" i="28"/>
  <c r="N26" i="28"/>
  <c r="F28" i="28"/>
  <c r="G28" i="28"/>
  <c r="N28" i="28"/>
  <c r="F29" i="28"/>
  <c r="G29" i="28"/>
  <c r="N29" i="28"/>
  <c r="I41" i="28"/>
  <c r="I42" i="28"/>
  <c r="I43" i="28"/>
  <c r="L28" i="28" l="1"/>
  <c r="M28" i="28"/>
  <c r="M29" i="28"/>
  <c r="L29" i="28"/>
  <c r="M22" i="28"/>
  <c r="K34" i="28"/>
  <c r="M20" i="28"/>
  <c r="L21" i="28"/>
  <c r="L25" i="28"/>
  <c r="L26" i="28"/>
  <c r="M24" i="28"/>
  <c r="L23" i="28"/>
  <c r="M25" i="28"/>
  <c r="M21" i="28"/>
  <c r="M34" i="28" s="1"/>
  <c r="G34" i="28"/>
  <c r="L22" i="28"/>
  <c r="L20" i="28"/>
  <c r="L34" i="28" s="1"/>
</calcChain>
</file>

<file path=xl/comments1.xml><?xml version="1.0" encoding="utf-8"?>
<comments xmlns="http://schemas.openxmlformats.org/spreadsheetml/2006/main">
  <authors>
    <author>Autor</author>
  </authors>
  <commentList>
    <comment ref="J21" authorId="0" shapeId="0">
      <text>
        <r>
          <rPr>
            <b/>
            <sz val="9"/>
            <color indexed="81"/>
            <rFont val="Tahoma"/>
            <family val="2"/>
          </rPr>
          <t xml:space="preserve">sumar caja de ahorro
</t>
        </r>
      </text>
    </comment>
  </commentList>
</comments>
</file>

<file path=xl/sharedStrings.xml><?xml version="1.0" encoding="utf-8"?>
<sst xmlns="http://schemas.openxmlformats.org/spreadsheetml/2006/main" count="1447" uniqueCount="125">
  <si>
    <t>CUADRO RESUMEN DE LA SITUACIÓN FINANCIERA</t>
  </si>
  <si>
    <r>
      <t xml:space="preserve">°  Nota: </t>
    </r>
    <r>
      <rPr>
        <sz val="12"/>
        <rFont val="Arial Narrow"/>
        <family val="2"/>
      </rPr>
      <t>anexar papel de trabajo de cómo se integran las cuentas Deudoras y Acreedoras</t>
    </r>
  </si>
  <si>
    <t>CUENTAS DE RESULTADOS</t>
  </si>
  <si>
    <t>CUENTAS DE BALANCE</t>
  </si>
  <si>
    <t>FUENTE DE FINANCIAMIENTO</t>
  </si>
  <si>
    <t>INGRESOS Y OTROS BENEFICIOS ACUMULADOS</t>
  </si>
  <si>
    <t>INTERESES GENERADOS ACUMULADOS</t>
  </si>
  <si>
    <t>GASTOS Y OTRAS PÉRDIDAS ACUMULADOS</t>
  </si>
  <si>
    <t>%</t>
  </si>
  <si>
    <t>POR EROGAR
(D)</t>
  </si>
  <si>
    <t>SALDOS EN CAJA Y BANCOS
(A)</t>
  </si>
  <si>
    <t>° DEUDORAS DE ACTIVO
(B)</t>
  </si>
  <si>
    <t xml:space="preserve">° ACREEDORAS DE PASIVO
( C ) </t>
  </si>
  <si>
    <t>DIFERENCIA
A+B-C = D</t>
  </si>
  <si>
    <t>AVANCE %</t>
  </si>
  <si>
    <t xml:space="preserve">FIN. </t>
  </si>
  <si>
    <t>CONCEPTO</t>
  </si>
  <si>
    <t>PRESUPUESTO</t>
  </si>
  <si>
    <t>ACUMULADO</t>
  </si>
  <si>
    <t xml:space="preserve"> EJEMPLO:</t>
  </si>
  <si>
    <t>C.N.A.</t>
  </si>
  <si>
    <t>LUZ</t>
  </si>
  <si>
    <t>CLORACIÓN</t>
  </si>
  <si>
    <t>ELABORÓ:</t>
  </si>
  <si>
    <t>REVISÓ Y AUTORIZÓ:</t>
  </si>
  <si>
    <t>REVISÓ:</t>
  </si>
  <si>
    <t>FEIEF</t>
  </si>
  <si>
    <t>Porcentaje reflejado entre lo presupuestado y lo acumulado, y se calcula dividiendo el acumulado entre el presupuesto</t>
  </si>
  <si>
    <t>Importe total ejercido al mes que se reporta.</t>
  </si>
  <si>
    <t>ACUMULADO:</t>
  </si>
  <si>
    <t>Importe total presupuestado para cada concepto.</t>
  </si>
  <si>
    <t>PRESUPUESTO:</t>
  </si>
  <si>
    <t>Nombre de la cuenta.</t>
  </si>
  <si>
    <t>CONCEPTO:</t>
  </si>
  <si>
    <t>Gastos que el Municipio debe hacer de manera mensual.</t>
  </si>
  <si>
    <t>IRREDUCTIBLES:</t>
  </si>
  <si>
    <t>Representa el porcentaje de la aplicación de recursos respecto al presupuesto aprobado/modificado, y se calcula dividiendo los gastos y otras pérdidas entre el presupuesto aprobado/modificado anual.</t>
  </si>
  <si>
    <t>AVANCE %:</t>
  </si>
  <si>
    <t>Sumatoria de las cuentas de Activo menos Pasivo igual a Recursos por Erogar.</t>
  </si>
  <si>
    <t>DIFERENCIA:</t>
  </si>
  <si>
    <t>Sumatoria de las cuentas acreedoras de cada fuente de financiamiento.</t>
  </si>
  <si>
    <t>ACREEDORAS DE PASIVO:</t>
  </si>
  <si>
    <t>Sumatoria de las cuentas deudoras de cada fuente de financiamiento.</t>
  </si>
  <si>
    <t>DEUDORAS DE ACTIVO:</t>
  </si>
  <si>
    <t>Importe reflejado en caja y bancos al mes que se reporta.</t>
  </si>
  <si>
    <t>SALDOS EN CAJA Y BANCOS:</t>
  </si>
  <si>
    <t>Importe de ingresos y otros beneficios pendientes de erogar.</t>
  </si>
  <si>
    <t>POR EROGAR:</t>
  </si>
  <si>
    <t>Representa el porcentaje de la aplicación de los ingresos, otros bneficios acumulados e intereses generados, y se calcula dividiendo los gastos y otras pérdidas entre los ingresos (mas intereses).</t>
  </si>
  <si>
    <t>Representa el importe de los gastos y otras pérdidas del ente público, incurridos por gastos de funcionamiento, intereses, transferencias, participaciones y aportaciones otorgadas, otras pérdidas de la gestión y extraordinarias, entre otras.</t>
  </si>
  <si>
    <t>GASTOS Y OTRAS PÉRDIDAS ACUMULADOS:</t>
  </si>
  <si>
    <t>Representa el importe de los rendimientos financieros y/o intereses bancarios generados por el manejo de las cuentas bancarias de los de los ingresos de gestión, participaciones, aportaciones, transferencias, asignaciones, subsidios y otras ayudas y otros ingresos.</t>
  </si>
  <si>
    <t>Representa el importe de los ingresos y otros beneficios del ente público provenientes de los ingresos de gestión, participaciones, aportaciones, transferencias, asignaciones, subsidios y otras ayudas y otros ingresos.</t>
  </si>
  <si>
    <t>INGRESOS Y OTROS BENEFICIOS ACUMULADOS:</t>
  </si>
  <si>
    <t>Refleja las asignaciones presupuestarias anuales según lo establecido en el  Presupuesto de Egresos y sus anexos, o bien, la asignación presupuestaria que resulta de incorporar, en su caso, las adecuaciones presupuestarias al presupuesto aprobado.</t>
  </si>
  <si>
    <t>APROBADO / MODIFICADO ANUAL:</t>
  </si>
  <si>
    <t>Nombre de los fondos y ejercicio que maneja el sujeto de revisión.</t>
  </si>
  <si>
    <t>FUENTE DE FINANCIAMIENTO:</t>
  </si>
  <si>
    <t>Especificar el nombre del Municipio.</t>
  </si>
  <si>
    <t>MUNICIPIO DE:</t>
  </si>
  <si>
    <t>Insertar el logotipo representativo del Municipio.</t>
  </si>
  <si>
    <t>LOGOTIPO:</t>
  </si>
  <si>
    <t>DESCRIPCIÓN</t>
  </si>
  <si>
    <t>REFERENCIA</t>
  </si>
  <si>
    <t>Formato : FR-02</t>
  </si>
  <si>
    <t>LIC. GASTÓN VALDESPINO ÁVILA</t>
  </si>
  <si>
    <t>L.C.YOLANDA FLORES CABRERA</t>
  </si>
  <si>
    <t xml:space="preserve">                                                                                  </t>
  </si>
  <si>
    <t>TOTALES:</t>
  </si>
  <si>
    <t>COMPENSACION ISAN</t>
  </si>
  <si>
    <t>I.S.A.N.</t>
  </si>
  <si>
    <t>FORTAMUN</t>
  </si>
  <si>
    <t>IEPS GASOLINAS</t>
  </si>
  <si>
    <t>IEPS TABACOS</t>
  </si>
  <si>
    <t>FONDO DE FOMENTO MUNICIPAL</t>
  </si>
  <si>
    <t>FONDO GENERAL PARTICIPACIONES</t>
  </si>
  <si>
    <t>REPO</t>
  </si>
  <si>
    <t>OTROS INGRESOS</t>
  </si>
  <si>
    <t xml:space="preserve">APROVECHAMIENTOS </t>
  </si>
  <si>
    <t>DERECHOS</t>
  </si>
  <si>
    <t>ACCESORIOS DE LOS IMPUESTOS</t>
  </si>
  <si>
    <t xml:space="preserve">IMPUESTOS </t>
  </si>
  <si>
    <t xml:space="preserve">APROBADO / MODIFICADO ANUAL </t>
  </si>
  <si>
    <t>MUNICIPIO: TOLCAYUCA</t>
  </si>
  <si>
    <t>ISR</t>
  </si>
  <si>
    <t>FOCOM</t>
  </si>
  <si>
    <t>FOFIR</t>
  </si>
  <si>
    <t>MARZO  EJERCICIO 2021</t>
  </si>
  <si>
    <t>ENERO  EJERCICIO 2021</t>
  </si>
  <si>
    <t>CISAN</t>
  </si>
  <si>
    <t>FAISM 2020</t>
  </si>
  <si>
    <t>F.A.I.S.M. 2021</t>
  </si>
  <si>
    <t>FAFET</t>
  </si>
  <si>
    <t>FORTAMUN 2021</t>
  </si>
  <si>
    <t xml:space="preserve">F.A.I.S.M. </t>
  </si>
  <si>
    <t>C. MIRYAM EMILIA JUÁREZ PACHECO</t>
  </si>
  <si>
    <t>FEBRERO  EJERCICIO 2021</t>
  </si>
  <si>
    <t>"BAJO PROTESTA DE DECIR VERDAD DECLARAMOS QUE LAS CIFRAS CONTENIDAS EN LOS   ESTADOS FINANCIEROS Y SUS NOTAS, SON VERACES Y CONTIENE  TODA LA INFORMACION REFERENTE A LA SITUACION Y/O LOS RESULTADOS  DEL MUNICIPIO  DE TOLCAYUCA, AFIRMANDO SER LEGALMENTE RESPONSABLES DE LA AUTENCIDAD Y VERACIDAD DE LAS MISMAS. DICHA LEYENDA NO SUSTITUYE A LAS RESPECTIVAS NOTAS  A LOS ESTADOS FINANCIEROS, CUYA ESTRUCTURACION Y PRESENTACION DEBERA  APEGARSE A LO ESTABLECIDO POR EL CONAC."</t>
  </si>
  <si>
    <t xml:space="preserve">                                                                  ________________________________________________                </t>
  </si>
  <si>
    <t>____________________________________________</t>
  </si>
  <si>
    <t xml:space="preserve">                   _________________________________________________</t>
  </si>
  <si>
    <t>___________________________________________________</t>
  </si>
  <si>
    <t>________________________________________________</t>
  </si>
  <si>
    <t>_______________________________________________________</t>
  </si>
  <si>
    <t>_______________________________________________</t>
  </si>
  <si>
    <t>_____________________________________________</t>
  </si>
  <si>
    <t xml:space="preserve">       ________________________________________</t>
  </si>
  <si>
    <t>TESORERA MUNICIPAL</t>
  </si>
  <si>
    <t xml:space="preserve">                                               TESORERA MUNICIPAL</t>
  </si>
  <si>
    <t>PRESIDENTE  MUNICIPAL</t>
  </si>
  <si>
    <t>SÍNDICO MUNICIPAL</t>
  </si>
  <si>
    <t xml:space="preserve">      PRESIDENTE  MUNICIPAL</t>
  </si>
  <si>
    <t>PRESIDENTE MUNICIPAL</t>
  </si>
  <si>
    <t>=</t>
  </si>
  <si>
    <t>INMUJER</t>
  </si>
  <si>
    <t>ABRIL  EJERCICIO 2021</t>
  </si>
  <si>
    <t>MAYO  EJERCICIO 2021</t>
  </si>
  <si>
    <t>JUNIO  EJERCICIO 2021</t>
  </si>
  <si>
    <t xml:space="preserve">                             ___________________________________</t>
  </si>
  <si>
    <t>JULIO  EJERCICIO 2021</t>
  </si>
  <si>
    <t>AGOSTO  EJERCICIO 2021</t>
  </si>
  <si>
    <t>SEPTIEMBRE  EJERCICIO 2021</t>
  </si>
  <si>
    <t>OCTUBRE  EJERCICIO 2021</t>
  </si>
  <si>
    <t>NOVIEMBRE  EJERCICIO 2021</t>
  </si>
  <si>
    <t>DICIEMBRE  EJERCICIO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</si>
</sst>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&quot;$&quot;#,##0.00;[Red]\-&quot;$&quot;#,##0.00"/>
    <numFmt numFmtId="44" formatCode="_-&quot;$&quot;* #,##0.00_-;\-&quot;$&quot;* #,##0.00_-;_-&quot;$&quot;* &quot;-&quot;??_-;_-@_-"/>
    <numFmt numFmtId="164" formatCode="_-&quot;XDR&quot;* #,##0.00_-;\-&quot;XDR&quot;* #,##0.00_-;_-&quot;XDR&quot;* &quot;-&quot;??_-;_-@_-"/>
    <numFmt numFmtId="165" formatCode="#,##0.00_ ;[Red]\-#,##0.00\ "/>
    <numFmt numFmtId="166" formatCode="#,##0.00;[Red]#,##0.00"/>
    <numFmt numFmtId="167" formatCode="&quot;$&quot;#,##0.00"/>
    <numFmt numFmtId="168" formatCode="#,##0.00000000000000"/>
    <numFmt numFmtId="169" formatCode="#,##0.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0"/>
      <name val="Arial"/>
      <family val="2"/>
    </font>
    <font>
      <b/>
      <sz val="14"/>
      <name val="Arial Narrow"/>
      <family val="2"/>
    </font>
    <font>
      <b/>
      <sz val="8"/>
      <color theme="1"/>
      <name val="Arial Narrow"/>
      <family val="2"/>
    </font>
    <font>
      <sz val="9"/>
      <name val="Arial"/>
      <family val="2"/>
    </font>
    <font>
      <b/>
      <sz val="9"/>
      <color indexed="81"/>
      <name val="Tahoma"/>
      <family val="2"/>
    </font>
    <font>
      <sz val="9"/>
      <color theme="1"/>
      <name val="Arial"/>
      <family val="2"/>
    </font>
    <font>
      <sz val="9"/>
      <name val="Tahoma"/>
      <family val="2"/>
    </font>
    <font>
      <sz val="11"/>
      <name val="Tahoma"/>
      <family val="2"/>
    </font>
    <font>
      <sz val="11"/>
      <color theme="1"/>
      <name val="Tahoma"/>
      <family val="2"/>
    </font>
    <font>
      <sz val="10"/>
      <name val="Tahoma"/>
      <family val="2"/>
    </font>
    <font>
      <b/>
      <sz val="9"/>
      <name val="Tahoma"/>
      <family val="2"/>
    </font>
    <font>
      <b/>
      <sz val="10"/>
      <name val="Tahoma"/>
      <family val="2"/>
    </font>
    <font>
      <b/>
      <sz val="10"/>
      <color theme="1"/>
      <name val="Tahoma"/>
      <family val="2"/>
    </font>
    <font>
      <b/>
      <sz val="9"/>
      <color theme="1"/>
      <name val="Tahoma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9" fontId="27" fillId="0" borderId="0" applyFont="0" applyFill="0" applyBorder="0" applyAlignment="0" applyProtection="0"/>
  </cellStyleXfs>
  <cellXfs count="391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2" fillId="2" borderId="0" xfId="3" applyFont="1" applyFill="1" applyAlignment="1"/>
    <xf numFmtId="0" fontId="2" fillId="2" borderId="0" xfId="3" applyFont="1" applyFill="1" applyAlignment="1">
      <alignment horizontal="left"/>
    </xf>
    <xf numFmtId="0" fontId="6" fillId="2" borderId="0" xfId="3" applyFont="1" applyFill="1"/>
    <xf numFmtId="0" fontId="2" fillId="0" borderId="0" xfId="3" applyFont="1" applyFill="1" applyAlignment="1">
      <alignment vertical="top"/>
    </xf>
    <xf numFmtId="0" fontId="4" fillId="0" borderId="0" xfId="3" applyFont="1" applyFill="1"/>
    <xf numFmtId="0" fontId="2" fillId="0" borderId="0" xfId="3" applyFont="1" applyFill="1" applyAlignment="1"/>
    <xf numFmtId="0" fontId="2" fillId="2" borderId="0" xfId="3" applyFont="1" applyFill="1" applyAlignment="1">
      <alignment vertical="center"/>
    </xf>
    <xf numFmtId="0" fontId="6" fillId="2" borderId="0" xfId="3" applyFont="1" applyFill="1" applyAlignment="1">
      <alignment horizontal="center"/>
    </xf>
    <xf numFmtId="0" fontId="2" fillId="2" borderId="0" xfId="3" applyFont="1" applyFill="1" applyAlignment="1">
      <alignment vertical="top"/>
    </xf>
    <xf numFmtId="0" fontId="4" fillId="2" borderId="0" xfId="3" applyFont="1" applyFill="1" applyAlignment="1">
      <alignment horizontal="left" vertical="center"/>
    </xf>
    <xf numFmtId="0" fontId="4" fillId="2" borderId="0" xfId="3" applyFont="1" applyFill="1" applyAlignment="1"/>
    <xf numFmtId="0" fontId="4" fillId="2" borderId="0" xfId="3" applyFont="1" applyFill="1" applyBorder="1" applyAlignment="1">
      <alignment vertical="top" wrapText="1"/>
    </xf>
    <xf numFmtId="0" fontId="2" fillId="2" borderId="0" xfId="3" applyFont="1" applyFill="1" applyBorder="1" applyAlignment="1">
      <alignment horizontal="left" vertical="top" wrapText="1"/>
    </xf>
    <xf numFmtId="0" fontId="2" fillId="2" borderId="0" xfId="3" applyFont="1" applyFill="1" applyBorder="1" applyAlignment="1">
      <alignment vertical="top" wrapText="1"/>
    </xf>
    <xf numFmtId="0" fontId="3" fillId="2" borderId="0" xfId="3" applyFont="1" applyFill="1" applyAlignment="1">
      <alignment horizontal="center"/>
    </xf>
    <xf numFmtId="0" fontId="3" fillId="2" borderId="0" xfId="3" applyFont="1" applyFill="1" applyAlignment="1"/>
    <xf numFmtId="0" fontId="2" fillId="2" borderId="0" xfId="3" applyFont="1" applyFill="1"/>
    <xf numFmtId="0" fontId="2" fillId="2" borderId="0" xfId="3" applyFont="1" applyFill="1" applyAlignment="1">
      <alignment horizontal="center"/>
    </xf>
    <xf numFmtId="0" fontId="3" fillId="2" borderId="0" xfId="3" applyFont="1" applyFill="1" applyBorder="1"/>
    <xf numFmtId="0" fontId="6" fillId="2" borderId="0" xfId="3" applyFont="1" applyFill="1" applyBorder="1"/>
    <xf numFmtId="0" fontId="11" fillId="2" borderId="0" xfId="3" applyFont="1" applyFill="1"/>
    <xf numFmtId="0" fontId="11" fillId="2" borderId="0" xfId="3" applyFont="1" applyFill="1" applyAlignment="1">
      <alignment horizontal="center"/>
    </xf>
    <xf numFmtId="0" fontId="12" fillId="2" borderId="0" xfId="3" applyFont="1" applyFill="1"/>
    <xf numFmtId="4" fontId="3" fillId="2" borderId="0" xfId="3" applyNumberFormat="1" applyFont="1" applyFill="1" applyBorder="1" applyAlignment="1">
      <alignment horizontal="center"/>
    </xf>
    <xf numFmtId="4" fontId="8" fillId="2" borderId="0" xfId="3" applyNumberFormat="1" applyFont="1" applyFill="1" applyBorder="1" applyAlignment="1"/>
    <xf numFmtId="0" fontId="8" fillId="2" borderId="0" xfId="3" applyFont="1" applyFill="1" applyAlignment="1">
      <alignment horizontal="center"/>
    </xf>
    <xf numFmtId="0" fontId="15" fillId="0" borderId="0" xfId="3" applyFont="1"/>
    <xf numFmtId="4" fontId="9" fillId="2" borderId="0" xfId="4" applyNumberFormat="1" applyFont="1" applyFill="1" applyBorder="1" applyAlignment="1" applyProtection="1">
      <alignment horizontal="center"/>
    </xf>
    <xf numFmtId="0" fontId="15" fillId="0" borderId="0" xfId="3" applyFont="1" applyProtection="1"/>
    <xf numFmtId="4" fontId="9" fillId="2" borderId="0" xfId="4" applyNumberFormat="1" applyFont="1" applyFill="1" applyBorder="1"/>
    <xf numFmtId="1" fontId="9" fillId="2" borderId="0" xfId="4" applyNumberFormat="1" applyFont="1" applyFill="1" applyBorder="1"/>
    <xf numFmtId="0" fontId="9" fillId="2" borderId="0" xfId="4" applyFont="1" applyFill="1"/>
    <xf numFmtId="44" fontId="9" fillId="2" borderId="0" xfId="5" applyFont="1" applyFill="1"/>
    <xf numFmtId="44" fontId="9" fillId="2" borderId="0" xfId="5" applyFont="1" applyFill="1" applyBorder="1" applyAlignment="1">
      <alignment horizontal="right"/>
    </xf>
    <xf numFmtId="0" fontId="9" fillId="2" borderId="0" xfId="4" applyFont="1" applyFill="1" applyBorder="1"/>
    <xf numFmtId="0" fontId="15" fillId="0" borderId="0" xfId="3" applyFont="1" applyFill="1"/>
    <xf numFmtId="4" fontId="9" fillId="0" borderId="0" xfId="4" applyNumberFormat="1" applyFont="1" applyFill="1" applyBorder="1" applyAlignment="1">
      <alignment horizontal="center"/>
    </xf>
    <xf numFmtId="9" fontId="3" fillId="2" borderId="0" xfId="3" applyNumberFormat="1" applyFont="1" applyFill="1" applyBorder="1"/>
    <xf numFmtId="166" fontId="3" fillId="2" borderId="0" xfId="3" applyNumberFormat="1" applyFont="1" applyFill="1" applyBorder="1" applyAlignment="1">
      <alignment horizontal="center"/>
    </xf>
    <xf numFmtId="0" fontId="7" fillId="2" borderId="0" xfId="3" applyFont="1" applyFill="1" applyBorder="1" applyAlignment="1">
      <alignment horizontal="center"/>
    </xf>
    <xf numFmtId="4" fontId="7" fillId="2" borderId="0" xfId="3" applyNumberFormat="1" applyFont="1" applyFill="1" applyBorder="1" applyAlignment="1">
      <alignment horizontal="center"/>
    </xf>
    <xf numFmtId="9" fontId="3" fillId="2" borderId="1" xfId="3" applyNumberFormat="1" applyFont="1" applyFill="1" applyBorder="1"/>
    <xf numFmtId="167" fontId="3" fillId="2" borderId="0" xfId="3" applyNumberFormat="1" applyFont="1" applyFill="1"/>
    <xf numFmtId="44" fontId="3" fillId="2" borderId="0" xfId="3" applyNumberFormat="1" applyFont="1" applyFill="1"/>
    <xf numFmtId="4" fontId="3" fillId="2" borderId="0" xfId="3" applyNumberFormat="1" applyFont="1" applyFill="1"/>
    <xf numFmtId="165" fontId="3" fillId="2" borderId="0" xfId="3" applyNumberFormat="1" applyFont="1" applyFill="1"/>
    <xf numFmtId="44" fontId="9" fillId="2" borderId="0" xfId="5" applyFont="1" applyFill="1" applyBorder="1" applyAlignment="1">
      <alignment horizontal="center"/>
    </xf>
    <xf numFmtId="44" fontId="6" fillId="2" borderId="0" xfId="5" applyFont="1" applyFill="1" applyBorder="1" applyAlignment="1">
      <alignment horizontal="center"/>
    </xf>
    <xf numFmtId="4" fontId="6" fillId="2" borderId="0" xfId="3" applyNumberFormat="1" applyFont="1" applyFill="1" applyBorder="1" applyAlignment="1">
      <alignment horizontal="center"/>
    </xf>
    <xf numFmtId="0" fontId="3" fillId="0" borderId="0" xfId="3" applyFont="1" applyFill="1"/>
    <xf numFmtId="165" fontId="3" fillId="0" borderId="0" xfId="3" applyNumberFormat="1" applyFont="1" applyFill="1"/>
    <xf numFmtId="10" fontId="9" fillId="2" borderId="0" xfId="3" applyNumberFormat="1" applyFont="1" applyFill="1" applyBorder="1"/>
    <xf numFmtId="165" fontId="9" fillId="2" borderId="0" xfId="3" applyNumberFormat="1" applyFont="1" applyFill="1" applyBorder="1"/>
    <xf numFmtId="165" fontId="9" fillId="2" borderId="1" xfId="3" applyNumberFormat="1" applyFont="1" applyFill="1" applyBorder="1"/>
    <xf numFmtId="0" fontId="9" fillId="2" borderId="1" xfId="3" applyFont="1" applyFill="1" applyBorder="1"/>
    <xf numFmtId="4" fontId="9" fillId="2" borderId="1" xfId="3" applyNumberFormat="1" applyFont="1" applyFill="1" applyBorder="1"/>
    <xf numFmtId="0" fontId="9" fillId="2" borderId="1" xfId="3" applyFont="1" applyFill="1" applyBorder="1" applyAlignment="1">
      <alignment horizontal="right"/>
    </xf>
    <xf numFmtId="9" fontId="9" fillId="2" borderId="1" xfId="3" applyNumberFormat="1" applyFont="1" applyFill="1" applyBorder="1"/>
    <xf numFmtId="167" fontId="9" fillId="2" borderId="1" xfId="6" applyNumberFormat="1" applyFont="1" applyFill="1" applyBorder="1" applyAlignment="1">
      <alignment horizontal="right" vertical="center"/>
    </xf>
    <xf numFmtId="0" fontId="9" fillId="2" borderId="1" xfId="3" applyFont="1" applyFill="1" applyBorder="1" applyAlignment="1">
      <alignment horizontal="left" vertical="center"/>
    </xf>
    <xf numFmtId="167" fontId="15" fillId="2" borderId="1" xfId="6" applyNumberFormat="1" applyFont="1" applyFill="1" applyBorder="1" applyAlignment="1">
      <alignment horizontal="right" vertical="center"/>
    </xf>
    <xf numFmtId="168" fontId="3" fillId="2" borderId="0" xfId="3" applyNumberFormat="1" applyFont="1" applyFill="1"/>
    <xf numFmtId="0" fontId="10" fillId="2" borderId="0" xfId="3" applyFont="1" applyFill="1"/>
    <xf numFmtId="9" fontId="15" fillId="2" borderId="1" xfId="3" applyNumberFormat="1" applyFont="1" applyFill="1" applyBorder="1"/>
    <xf numFmtId="165" fontId="15" fillId="2" borderId="1" xfId="3" applyNumberFormat="1" applyFont="1" applyFill="1" applyBorder="1"/>
    <xf numFmtId="44" fontId="3" fillId="2" borderId="0" xfId="5" applyFont="1" applyFill="1"/>
    <xf numFmtId="8" fontId="16" fillId="2" borderId="0" xfId="3" applyNumberFormat="1" applyFont="1" applyFill="1"/>
    <xf numFmtId="167" fontId="16" fillId="2" borderId="0" xfId="3" applyNumberFormat="1" applyFont="1" applyFill="1"/>
    <xf numFmtId="165" fontId="16" fillId="2" borderId="0" xfId="3" applyNumberFormat="1" applyFont="1" applyFill="1"/>
    <xf numFmtId="9" fontId="10" fillId="2" borderId="1" xfId="3" applyNumberFormat="1" applyFont="1" applyFill="1" applyBorder="1"/>
    <xf numFmtId="167" fontId="9" fillId="2" borderId="1" xfId="3" applyNumberFormat="1" applyFont="1" applyFill="1" applyBorder="1"/>
    <xf numFmtId="167" fontId="9" fillId="2" borderId="1" xfId="5" applyNumberFormat="1" applyFont="1" applyFill="1" applyBorder="1"/>
    <xf numFmtId="165" fontId="10" fillId="2" borderId="1" xfId="3" applyNumberFormat="1" applyFont="1" applyFill="1" applyBorder="1"/>
    <xf numFmtId="164" fontId="9" fillId="2" borderId="1" xfId="3" applyNumberFormat="1" applyFont="1" applyFill="1" applyBorder="1"/>
    <xf numFmtId="0" fontId="10" fillId="2" borderId="1" xfId="3" applyFont="1" applyFill="1" applyBorder="1" applyAlignment="1">
      <alignment horizontal="left" vertical="center"/>
    </xf>
    <xf numFmtId="0" fontId="9" fillId="2" borderId="1" xfId="3" applyNumberFormat="1" applyFont="1" applyFill="1" applyBorder="1"/>
    <xf numFmtId="0" fontId="7" fillId="3" borderId="1" xfId="3" applyFont="1" applyFill="1" applyBorder="1" applyAlignment="1">
      <alignment horizontal="center" vertical="center"/>
    </xf>
    <xf numFmtId="0" fontId="7" fillId="3" borderId="1" xfId="3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/>
    </xf>
    <xf numFmtId="0" fontId="7" fillId="3" borderId="0" xfId="3" applyFont="1" applyFill="1" applyBorder="1" applyAlignment="1">
      <alignment horizontal="center"/>
    </xf>
    <xf numFmtId="44" fontId="6" fillId="2" borderId="0" xfId="5" applyFont="1" applyFill="1"/>
    <xf numFmtId="0" fontId="2" fillId="0" borderId="0" xfId="3" applyFont="1" applyFill="1" applyAlignment="1">
      <alignment horizontal="center"/>
    </xf>
    <xf numFmtId="0" fontId="2" fillId="0" borderId="0" xfId="3" applyFont="1" applyFill="1" applyAlignment="1">
      <alignment horizontal="left"/>
    </xf>
    <xf numFmtId="0" fontId="2" fillId="2" borderId="0" xfId="3" applyFont="1" applyFill="1" applyAlignment="1">
      <alignment horizontal="center"/>
    </xf>
    <xf numFmtId="0" fontId="2" fillId="2" borderId="0" xfId="3" applyFont="1" applyFill="1" applyBorder="1" applyAlignment="1">
      <alignment horizontal="left" vertical="top" wrapText="1"/>
    </xf>
    <xf numFmtId="0" fontId="8" fillId="2" borderId="0" xfId="3" applyFont="1" applyFill="1" applyBorder="1" applyAlignment="1">
      <alignment horizontal="center"/>
    </xf>
    <xf numFmtId="0" fontId="11" fillId="2" borderId="0" xfId="3" applyFont="1" applyFill="1" applyAlignment="1">
      <alignment horizontal="center"/>
    </xf>
    <xf numFmtId="0" fontId="9" fillId="2" borderId="0" xfId="4" applyFont="1" applyFill="1" applyBorder="1" applyAlignment="1">
      <alignment horizontal="center"/>
    </xf>
    <xf numFmtId="0" fontId="7" fillId="2" borderId="1" xfId="3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2" fillId="2" borderId="0" xfId="3" applyFont="1" applyFill="1" applyAlignment="1">
      <alignment horizontal="center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/>
    </xf>
    <xf numFmtId="0" fontId="9" fillId="2" borderId="0" xfId="4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0" fontId="11" fillId="2" borderId="0" xfId="3" applyFont="1" applyFill="1" applyAlignment="1">
      <alignment horizontal="center"/>
    </xf>
    <xf numFmtId="0" fontId="2" fillId="2" borderId="0" xfId="3" applyFont="1" applyFill="1" applyBorder="1" applyAlignment="1">
      <alignment horizontal="left" vertical="top" wrapText="1"/>
    </xf>
    <xf numFmtId="4" fontId="15" fillId="2" borderId="1" xfId="3" applyNumberFormat="1" applyFont="1" applyFill="1" applyBorder="1"/>
    <xf numFmtId="0" fontId="9" fillId="2" borderId="0" xfId="4" applyFont="1" applyFill="1" applyBorder="1" applyAlignment="1">
      <alignment horizontal="center"/>
    </xf>
    <xf numFmtId="4" fontId="9" fillId="2" borderId="0" xfId="4" applyNumberFormat="1" applyFont="1" applyFill="1" applyBorder="1" applyAlignment="1">
      <alignment horizontal="center"/>
    </xf>
    <xf numFmtId="0" fontId="9" fillId="2" borderId="1" xfId="2" applyFont="1" applyFill="1" applyBorder="1" applyAlignment="1">
      <alignment horizontal="left" vertical="center"/>
    </xf>
    <xf numFmtId="4" fontId="10" fillId="2" borderId="1" xfId="2" applyNumberFormat="1" applyFont="1" applyFill="1" applyBorder="1"/>
    <xf numFmtId="9" fontId="10" fillId="2" borderId="1" xfId="2" applyNumberFormat="1" applyFont="1" applyFill="1" applyBorder="1"/>
    <xf numFmtId="165" fontId="10" fillId="2" borderId="1" xfId="2" applyNumberFormat="1" applyFont="1" applyFill="1" applyBorder="1"/>
    <xf numFmtId="169" fontId="3" fillId="2" borderId="0" xfId="3" applyNumberFormat="1" applyFont="1" applyFill="1"/>
    <xf numFmtId="8" fontId="9" fillId="2" borderId="1" xfId="6" applyNumberFormat="1" applyFont="1" applyFill="1" applyBorder="1" applyAlignment="1">
      <alignment horizontal="right" vertical="center"/>
    </xf>
    <xf numFmtId="0" fontId="2" fillId="2" borderId="0" xfId="3" applyFont="1" applyFill="1" applyAlignment="1">
      <alignment horizontal="center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0" fontId="2" fillId="2" borderId="0" xfId="3" applyFont="1" applyFill="1" applyBorder="1" applyAlignment="1">
      <alignment horizontal="left" vertical="top" wrapText="1"/>
    </xf>
    <xf numFmtId="0" fontId="19" fillId="2" borderId="0" xfId="3" applyFont="1" applyFill="1" applyBorder="1" applyAlignment="1">
      <alignment horizontal="center"/>
    </xf>
    <xf numFmtId="0" fontId="19" fillId="2" borderId="0" xfId="3" applyFont="1" applyFill="1" applyAlignment="1">
      <alignment horizontal="center"/>
    </xf>
    <xf numFmtId="4" fontId="19" fillId="2" borderId="0" xfId="3" applyNumberFormat="1" applyFont="1" applyFill="1" applyBorder="1" applyAlignment="1"/>
    <xf numFmtId="0" fontId="20" fillId="2" borderId="0" xfId="3" applyFont="1" applyFill="1"/>
    <xf numFmtId="0" fontId="20" fillId="2" borderId="0" xfId="3" applyFont="1" applyFill="1" applyAlignment="1">
      <alignment horizontal="center"/>
    </xf>
    <xf numFmtId="4" fontId="20" fillId="2" borderId="0" xfId="3" applyNumberFormat="1" applyFont="1" applyFill="1" applyBorder="1" applyAlignment="1">
      <alignment horizontal="center"/>
    </xf>
    <xf numFmtId="0" fontId="20" fillId="2" borderId="0" xfId="3" applyFont="1" applyFill="1" applyBorder="1" applyAlignment="1">
      <alignment horizontal="center"/>
    </xf>
    <xf numFmtId="44" fontId="20" fillId="2" borderId="0" xfId="5" applyFont="1" applyFill="1" applyBorder="1" applyAlignment="1">
      <alignment horizontal="center"/>
    </xf>
    <xf numFmtId="165" fontId="20" fillId="2" borderId="0" xfId="3" applyNumberFormat="1" applyFont="1" applyFill="1"/>
    <xf numFmtId="167" fontId="20" fillId="2" borderId="0" xfId="3" applyNumberFormat="1" applyFont="1" applyFill="1"/>
    <xf numFmtId="0" fontId="20" fillId="2" borderId="1" xfId="3" applyFont="1" applyFill="1" applyBorder="1" applyAlignment="1">
      <alignment horizontal="center"/>
    </xf>
    <xf numFmtId="9" fontId="20" fillId="2" borderId="1" xfId="3" applyNumberFormat="1" applyFont="1" applyFill="1" applyBorder="1"/>
    <xf numFmtId="4" fontId="20" fillId="2" borderId="0" xfId="3" applyNumberFormat="1" applyFont="1" applyFill="1"/>
    <xf numFmtId="44" fontId="20" fillId="2" borderId="0" xfId="3" applyNumberFormat="1" applyFont="1" applyFill="1"/>
    <xf numFmtId="166" fontId="20" fillId="2" borderId="0" xfId="3" applyNumberFormat="1" applyFont="1" applyFill="1" applyBorder="1" applyAlignment="1">
      <alignment horizontal="center"/>
    </xf>
    <xf numFmtId="9" fontId="20" fillId="2" borderId="0" xfId="3" applyNumberFormat="1" applyFont="1" applyFill="1" applyBorder="1"/>
    <xf numFmtId="0" fontId="21" fillId="0" borderId="0" xfId="3" applyFont="1" applyFill="1"/>
    <xf numFmtId="4" fontId="20" fillId="0" borderId="0" xfId="4" applyNumberFormat="1" applyFont="1" applyFill="1" applyBorder="1" applyAlignment="1">
      <alignment horizontal="center"/>
    </xf>
    <xf numFmtId="0" fontId="20" fillId="2" borderId="0" xfId="4" applyFont="1" applyFill="1" applyBorder="1" applyAlignment="1">
      <alignment horizontal="center"/>
    </xf>
    <xf numFmtId="0" fontId="20" fillId="2" borderId="0" xfId="4" applyFont="1" applyFill="1" applyBorder="1"/>
    <xf numFmtId="44" fontId="20" fillId="2" borderId="0" xfId="5" applyFont="1" applyFill="1" applyBorder="1" applyAlignment="1">
      <alignment horizontal="right"/>
    </xf>
    <xf numFmtId="44" fontId="20" fillId="2" borderId="0" xfId="5" applyFont="1" applyFill="1"/>
    <xf numFmtId="4" fontId="20" fillId="2" borderId="0" xfId="4" applyNumberFormat="1" applyFont="1" applyFill="1" applyBorder="1"/>
    <xf numFmtId="0" fontId="20" fillId="2" borderId="0" xfId="4" applyFont="1" applyFill="1"/>
    <xf numFmtId="0" fontId="21" fillId="0" borderId="0" xfId="3" applyFont="1"/>
    <xf numFmtId="1" fontId="20" fillId="2" borderId="0" xfId="4" applyNumberFormat="1" applyFont="1" applyFill="1" applyBorder="1"/>
    <xf numFmtId="4" fontId="20" fillId="2" borderId="0" xfId="3" applyNumberFormat="1" applyFont="1" applyFill="1" applyBorder="1" applyAlignment="1"/>
    <xf numFmtId="0" fontId="2" fillId="2" borderId="0" xfId="3" applyFont="1" applyFill="1" applyAlignment="1">
      <alignment horizontal="center"/>
    </xf>
    <xf numFmtId="0" fontId="2" fillId="2" borderId="0" xfId="3" applyFont="1" applyFill="1" applyBorder="1" applyAlignment="1">
      <alignment horizontal="left" vertical="top" wrapText="1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/>
    </xf>
    <xf numFmtId="165" fontId="3" fillId="2" borderId="0" xfId="3" applyNumberFormat="1" applyFont="1" applyFill="1" applyBorder="1"/>
    <xf numFmtId="4" fontId="19" fillId="2" borderId="0" xfId="3" applyNumberFormat="1" applyFont="1" applyFill="1" applyBorder="1" applyAlignment="1">
      <alignment horizontal="center"/>
    </xf>
    <xf numFmtId="0" fontId="9" fillId="2" borderId="0" xfId="3" applyFont="1" applyFill="1" applyBorder="1" applyAlignment="1">
      <alignment horizontal="right"/>
    </xf>
    <xf numFmtId="4" fontId="9" fillId="2" borderId="0" xfId="3" applyNumberFormat="1" applyFont="1" applyFill="1" applyBorder="1"/>
    <xf numFmtId="0" fontId="9" fillId="2" borderId="0" xfId="3" applyFont="1" applyFill="1" applyBorder="1"/>
    <xf numFmtId="0" fontId="2" fillId="2" borderId="0" xfId="3" applyFont="1" applyFill="1" applyAlignment="1">
      <alignment horizontal="center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4" fontId="19" fillId="2" borderId="0" xfId="3" applyNumberFormat="1" applyFont="1" applyFill="1" applyBorder="1" applyAlignment="1">
      <alignment horizontal="center"/>
    </xf>
    <xf numFmtId="0" fontId="22" fillId="2" borderId="0" xfId="3" applyFont="1" applyFill="1"/>
    <xf numFmtId="166" fontId="22" fillId="2" borderId="0" xfId="3" applyNumberFormat="1" applyFont="1" applyFill="1" applyBorder="1" applyAlignment="1">
      <alignment horizontal="center"/>
    </xf>
    <xf numFmtId="9" fontId="22" fillId="2" borderId="0" xfId="3" applyNumberFormat="1" applyFont="1" applyFill="1" applyBorder="1"/>
    <xf numFmtId="167" fontId="22" fillId="2" borderId="0" xfId="3" applyNumberFormat="1" applyFont="1" applyFill="1"/>
    <xf numFmtId="0" fontId="24" fillId="2" borderId="0" xfId="3" applyFont="1" applyFill="1" applyBorder="1" applyAlignment="1">
      <alignment horizontal="center"/>
    </xf>
    <xf numFmtId="4" fontId="24" fillId="2" borderId="0" xfId="3" applyNumberFormat="1" applyFont="1" applyFill="1" applyBorder="1" applyAlignment="1">
      <alignment horizontal="center"/>
    </xf>
    <xf numFmtId="0" fontId="25" fillId="0" borderId="0" xfId="3" applyFont="1" applyFill="1"/>
    <xf numFmtId="4" fontId="24" fillId="0" borderId="0" xfId="4" applyNumberFormat="1" applyFont="1" applyFill="1" applyBorder="1" applyAlignment="1">
      <alignment horizontal="center"/>
    </xf>
    <xf numFmtId="0" fontId="24" fillId="2" borderId="0" xfId="4" applyFont="1" applyFill="1" applyBorder="1" applyAlignment="1">
      <alignment horizontal="center"/>
    </xf>
    <xf numFmtId="0" fontId="24" fillId="2" borderId="0" xfId="4" applyFont="1" applyFill="1" applyBorder="1"/>
    <xf numFmtId="44" fontId="24" fillId="2" borderId="0" xfId="5" applyFont="1" applyFill="1" applyBorder="1" applyAlignment="1">
      <alignment horizontal="right"/>
    </xf>
    <xf numFmtId="44" fontId="24" fillId="2" borderId="0" xfId="5" applyFont="1" applyFill="1"/>
    <xf numFmtId="4" fontId="24" fillId="2" borderId="0" xfId="4" applyNumberFormat="1" applyFont="1" applyFill="1" applyBorder="1"/>
    <xf numFmtId="0" fontId="24" fillId="2" borderId="0" xfId="4" applyFont="1" applyFill="1"/>
    <xf numFmtId="0" fontId="25" fillId="0" borderId="0" xfId="3" applyFont="1"/>
    <xf numFmtId="1" fontId="24" fillId="2" borderId="0" xfId="4" applyNumberFormat="1" applyFont="1" applyFill="1" applyBorder="1"/>
    <xf numFmtId="0" fontId="24" fillId="2" borderId="0" xfId="4" applyFont="1" applyFill="1" applyBorder="1" applyAlignment="1">
      <alignment horizontal="center"/>
    </xf>
    <xf numFmtId="0" fontId="25" fillId="0" borderId="0" xfId="3" applyFont="1" applyProtection="1"/>
    <xf numFmtId="4" fontId="24" fillId="2" borderId="0" xfId="4" applyNumberFormat="1" applyFont="1" applyFill="1" applyBorder="1" applyAlignment="1" applyProtection="1">
      <alignment horizontal="center"/>
    </xf>
    <xf numFmtId="0" fontId="22" fillId="2" borderId="0" xfId="3" applyFont="1" applyFill="1" applyAlignment="1">
      <alignment horizontal="center"/>
    </xf>
    <xf numFmtId="4" fontId="22" fillId="2" borderId="0" xfId="3" applyNumberFormat="1" applyFont="1" applyFill="1" applyBorder="1" applyAlignment="1"/>
    <xf numFmtId="0" fontId="24" fillId="2" borderId="0" xfId="3" applyFont="1" applyFill="1"/>
    <xf numFmtId="0" fontId="22" fillId="2" borderId="0" xfId="3" applyFont="1" applyFill="1" applyAlignment="1">
      <alignment horizontal="center"/>
    </xf>
    <xf numFmtId="0" fontId="22" fillId="2" borderId="0" xfId="3" applyFont="1" applyFill="1"/>
    <xf numFmtId="4" fontId="22" fillId="2" borderId="0" xfId="3" applyNumberFormat="1" applyFont="1" applyFill="1" applyBorder="1" applyAlignment="1">
      <alignment horizontal="center"/>
    </xf>
    <xf numFmtId="0" fontId="26" fillId="0" borderId="0" xfId="3" applyFont="1" applyFill="1"/>
    <xf numFmtId="4" fontId="23" fillId="0" borderId="0" xfId="4" applyNumberFormat="1" applyFont="1" applyFill="1" applyBorder="1" applyAlignment="1">
      <alignment horizontal="center"/>
    </xf>
    <xf numFmtId="0" fontId="23" fillId="2" borderId="0" xfId="4" applyFont="1" applyFill="1" applyBorder="1" applyAlignment="1">
      <alignment horizontal="center"/>
    </xf>
    <xf numFmtId="0" fontId="23" fillId="2" borderId="0" xfId="4" applyFont="1" applyFill="1" applyBorder="1"/>
    <xf numFmtId="44" fontId="23" fillId="2" borderId="0" xfId="5" applyFont="1" applyFill="1" applyBorder="1" applyAlignment="1">
      <alignment horizontal="right"/>
    </xf>
    <xf numFmtId="44" fontId="23" fillId="2" borderId="0" xfId="5" applyFont="1" applyFill="1"/>
    <xf numFmtId="4" fontId="23" fillId="2" borderId="0" xfId="4" applyNumberFormat="1" applyFont="1" applyFill="1" applyBorder="1"/>
    <xf numFmtId="0" fontId="23" fillId="2" borderId="0" xfId="4" applyFont="1" applyFill="1"/>
    <xf numFmtId="0" fontId="26" fillId="0" borderId="0" xfId="3" applyFont="1"/>
    <xf numFmtId="1" fontId="23" fillId="2" borderId="0" xfId="4" applyNumberFormat="1" applyFont="1" applyFill="1" applyBorder="1"/>
    <xf numFmtId="0" fontId="23" fillId="2" borderId="0" xfId="4" applyFont="1" applyFill="1" applyBorder="1" applyAlignment="1">
      <alignment horizontal="center"/>
    </xf>
    <xf numFmtId="0" fontId="26" fillId="0" borderId="0" xfId="3" applyFont="1" applyProtection="1"/>
    <xf numFmtId="4" fontId="23" fillId="2" borderId="0" xfId="4" applyNumberFormat="1" applyFont="1" applyFill="1" applyBorder="1" applyAlignment="1" applyProtection="1">
      <alignment horizontal="center"/>
    </xf>
    <xf numFmtId="0" fontId="23" fillId="2" borderId="0" xfId="3" applyFont="1" applyFill="1"/>
    <xf numFmtId="0" fontId="19" fillId="2" borderId="0" xfId="3" applyFont="1" applyFill="1"/>
    <xf numFmtId="0" fontId="19" fillId="2" borderId="0" xfId="3" applyFont="1" applyFill="1" applyAlignment="1">
      <alignment horizontal="center"/>
    </xf>
    <xf numFmtId="0" fontId="19" fillId="2" borderId="0" xfId="3" applyFont="1" applyFill="1"/>
    <xf numFmtId="0" fontId="22" fillId="2" borderId="0" xfId="3" applyFont="1" applyFill="1" applyBorder="1" applyAlignment="1">
      <alignment horizontal="center"/>
    </xf>
    <xf numFmtId="44" fontId="22" fillId="2" borderId="0" xfId="3" applyNumberFormat="1" applyFont="1" applyFill="1" applyAlignment="1">
      <alignment horizontal="center"/>
    </xf>
    <xf numFmtId="0" fontId="2" fillId="2" borderId="0" xfId="3" applyFont="1" applyFill="1" applyAlignment="1">
      <alignment horizontal="center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0" fontId="22" fillId="2" borderId="0" xfId="3" applyFont="1" applyFill="1" applyAlignment="1">
      <alignment horizontal="center"/>
    </xf>
    <xf numFmtId="0" fontId="22" fillId="2" borderId="0" xfId="3" applyFont="1" applyFill="1"/>
    <xf numFmtId="0" fontId="24" fillId="2" borderId="0" xfId="4" applyFont="1" applyFill="1" applyBorder="1" applyAlignment="1">
      <alignment horizontal="center"/>
    </xf>
    <xf numFmtId="4" fontId="24" fillId="0" borderId="0" xfId="4" applyNumberFormat="1" applyFont="1" applyFill="1" applyBorder="1" applyAlignment="1">
      <alignment horizontal="center"/>
    </xf>
    <xf numFmtId="0" fontId="2" fillId="2" borderId="0" xfId="3" applyFont="1" applyFill="1" applyAlignment="1">
      <alignment horizontal="center"/>
    </xf>
    <xf numFmtId="0" fontId="2" fillId="2" borderId="0" xfId="3" applyFont="1" applyFill="1" applyBorder="1" applyAlignment="1">
      <alignment horizontal="left" vertical="top" wrapText="1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0" fontId="24" fillId="2" borderId="0" xfId="4" applyFont="1" applyFill="1" applyBorder="1" applyAlignment="1">
      <alignment horizontal="center"/>
    </xf>
    <xf numFmtId="4" fontId="24" fillId="0" borderId="0" xfId="4" applyNumberFormat="1" applyFont="1" applyFill="1" applyBorder="1" applyAlignment="1">
      <alignment horizontal="center"/>
    </xf>
    <xf numFmtId="0" fontId="22" fillId="2" borderId="0" xfId="3" applyFont="1" applyFill="1" applyAlignment="1">
      <alignment horizontal="center"/>
    </xf>
    <xf numFmtId="0" fontId="22" fillId="2" borderId="0" xfId="3" applyFont="1" applyFill="1"/>
    <xf numFmtId="167" fontId="9" fillId="4" borderId="1" xfId="3" applyNumberFormat="1" applyFont="1" applyFill="1" applyBorder="1"/>
    <xf numFmtId="167" fontId="9" fillId="5" borderId="1" xfId="6" applyNumberFormat="1" applyFont="1" applyFill="1" applyBorder="1" applyAlignment="1">
      <alignment horizontal="right" vertical="center"/>
    </xf>
    <xf numFmtId="167" fontId="15" fillId="5" borderId="1" xfId="6" applyNumberFormat="1" applyFont="1" applyFill="1" applyBorder="1" applyAlignment="1">
      <alignment horizontal="right" vertical="center"/>
    </xf>
    <xf numFmtId="8" fontId="9" fillId="5" borderId="1" xfId="6" applyNumberFormat="1" applyFont="1" applyFill="1" applyBorder="1" applyAlignment="1">
      <alignment horizontal="right" vertical="center"/>
    </xf>
    <xf numFmtId="4" fontId="9" fillId="5" borderId="1" xfId="3" applyNumberFormat="1" applyFont="1" applyFill="1" applyBorder="1"/>
    <xf numFmtId="4" fontId="15" fillId="5" borderId="1" xfId="3" applyNumberFormat="1" applyFont="1" applyFill="1" applyBorder="1"/>
    <xf numFmtId="165" fontId="9" fillId="5" borderId="1" xfId="3" applyNumberFormat="1" applyFont="1" applyFill="1" applyBorder="1"/>
    <xf numFmtId="165" fontId="15" fillId="5" borderId="1" xfId="3" applyNumberFormat="1" applyFont="1" applyFill="1" applyBorder="1"/>
    <xf numFmtId="0" fontId="9" fillId="5" borderId="1" xfId="3" applyFont="1" applyFill="1" applyBorder="1" applyAlignment="1">
      <alignment horizontal="left" vertical="center"/>
    </xf>
    <xf numFmtId="9" fontId="9" fillId="5" borderId="1" xfId="3" applyNumberFormat="1" applyFont="1" applyFill="1" applyBorder="1"/>
    <xf numFmtId="167" fontId="9" fillId="5" borderId="1" xfId="3" applyNumberFormat="1" applyFont="1" applyFill="1" applyBorder="1"/>
    <xf numFmtId="9" fontId="15" fillId="5" borderId="1" xfId="3" applyNumberFormat="1" applyFont="1" applyFill="1" applyBorder="1"/>
    <xf numFmtId="0" fontId="2" fillId="2" borderId="0" xfId="3" applyFont="1" applyFill="1" applyAlignment="1">
      <alignment horizontal="center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0" fontId="22" fillId="2" borderId="0" xfId="3" applyFont="1" applyFill="1" applyAlignment="1">
      <alignment horizontal="center"/>
    </xf>
    <xf numFmtId="0" fontId="22" fillId="2" borderId="0" xfId="3" applyFont="1" applyFill="1"/>
    <xf numFmtId="0" fontId="24" fillId="2" borderId="0" xfId="4" applyFont="1" applyFill="1" applyBorder="1" applyAlignment="1">
      <alignment horizontal="center"/>
    </xf>
    <xf numFmtId="4" fontId="24" fillId="0" borderId="0" xfId="4" applyNumberFormat="1" applyFont="1" applyFill="1" applyBorder="1" applyAlignment="1">
      <alignment horizontal="center"/>
    </xf>
    <xf numFmtId="0" fontId="9" fillId="4" borderId="1" xfId="3" applyFont="1" applyFill="1" applyBorder="1" applyAlignment="1">
      <alignment horizontal="left" vertical="center"/>
    </xf>
    <xf numFmtId="167" fontId="9" fillId="4" borderId="1" xfId="6" applyNumberFormat="1" applyFont="1" applyFill="1" applyBorder="1" applyAlignment="1">
      <alignment horizontal="right" vertical="center"/>
    </xf>
    <xf numFmtId="167" fontId="15" fillId="4" borderId="1" xfId="6" applyNumberFormat="1" applyFont="1" applyFill="1" applyBorder="1" applyAlignment="1">
      <alignment horizontal="right" vertical="center"/>
    </xf>
    <xf numFmtId="4" fontId="15" fillId="4" borderId="1" xfId="3" applyNumberFormat="1" applyFont="1" applyFill="1" applyBorder="1"/>
    <xf numFmtId="9" fontId="9" fillId="4" borderId="1" xfId="3" applyNumberFormat="1" applyFont="1" applyFill="1" applyBorder="1"/>
    <xf numFmtId="165" fontId="9" fillId="4" borderId="1" xfId="3" applyNumberFormat="1" applyFont="1" applyFill="1" applyBorder="1"/>
    <xf numFmtId="165" fontId="15" fillId="4" borderId="1" xfId="3" applyNumberFormat="1" applyFont="1" applyFill="1" applyBorder="1"/>
    <xf numFmtId="4" fontId="9" fillId="4" borderId="1" xfId="3" applyNumberFormat="1" applyFont="1" applyFill="1" applyBorder="1"/>
    <xf numFmtId="9" fontId="15" fillId="4" borderId="1" xfId="3" applyNumberFormat="1" applyFont="1" applyFill="1" applyBorder="1"/>
    <xf numFmtId="0" fontId="2" fillId="2" borderId="0" xfId="3" applyFont="1" applyFill="1" applyAlignment="1">
      <alignment horizontal="center"/>
    </xf>
    <xf numFmtId="0" fontId="2" fillId="2" borderId="0" xfId="3" applyFont="1" applyFill="1" applyBorder="1" applyAlignment="1">
      <alignment horizontal="left" vertical="top" wrapText="1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0" fontId="24" fillId="2" borderId="0" xfId="4" applyFont="1" applyFill="1" applyBorder="1" applyAlignment="1">
      <alignment horizontal="center"/>
    </xf>
    <xf numFmtId="4" fontId="24" fillId="0" borderId="0" xfId="4" applyNumberFormat="1" applyFont="1" applyFill="1" applyBorder="1" applyAlignment="1">
      <alignment horizontal="center"/>
    </xf>
    <xf numFmtId="0" fontId="22" fillId="2" borderId="0" xfId="3" applyFont="1" applyFill="1" applyAlignment="1">
      <alignment horizontal="center"/>
    </xf>
    <xf numFmtId="0" fontId="22" fillId="2" borderId="0" xfId="3" applyFont="1" applyFill="1"/>
    <xf numFmtId="4" fontId="9" fillId="2" borderId="1" xfId="2" applyNumberFormat="1" applyFont="1" applyFill="1" applyBorder="1"/>
    <xf numFmtId="9" fontId="9" fillId="2" borderId="1" xfId="2" applyNumberFormat="1" applyFont="1" applyFill="1" applyBorder="1"/>
    <xf numFmtId="165" fontId="9" fillId="2" borderId="1" xfId="2" applyNumberFormat="1" applyFont="1" applyFill="1" applyBorder="1"/>
    <xf numFmtId="9" fontId="9" fillId="2" borderId="1" xfId="7" applyFont="1" applyFill="1" applyBorder="1"/>
    <xf numFmtId="0" fontId="2" fillId="2" borderId="0" xfId="3" applyFont="1" applyFill="1" applyAlignment="1">
      <alignment horizontal="center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0" fontId="22" fillId="2" borderId="0" xfId="3" applyFont="1" applyFill="1" applyAlignment="1">
      <alignment horizontal="center"/>
    </xf>
    <xf numFmtId="0" fontId="22" fillId="2" borderId="0" xfId="3" applyFont="1" applyFill="1"/>
    <xf numFmtId="0" fontId="24" fillId="2" borderId="0" xfId="4" applyFont="1" applyFill="1" applyBorder="1" applyAlignment="1">
      <alignment horizontal="center"/>
    </xf>
    <xf numFmtId="4" fontId="24" fillId="0" borderId="0" xfId="4" applyNumberFormat="1" applyFont="1" applyFill="1" applyBorder="1" applyAlignment="1">
      <alignment horizontal="center"/>
    </xf>
    <xf numFmtId="0" fontId="2" fillId="2" borderId="0" xfId="3" applyFont="1" applyFill="1" applyAlignment="1">
      <alignment horizontal="center"/>
    </xf>
    <xf numFmtId="0" fontId="2" fillId="2" borderId="0" xfId="3" applyFont="1" applyFill="1" applyBorder="1" applyAlignment="1">
      <alignment horizontal="left" vertical="top" wrapText="1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0" fontId="24" fillId="2" borderId="0" xfId="4" applyFont="1" applyFill="1" applyBorder="1" applyAlignment="1">
      <alignment horizontal="center"/>
    </xf>
    <xf numFmtId="4" fontId="24" fillId="0" borderId="0" xfId="4" applyNumberFormat="1" applyFont="1" applyFill="1" applyBorder="1" applyAlignment="1">
      <alignment horizontal="center"/>
    </xf>
    <xf numFmtId="0" fontId="22" fillId="2" borderId="0" xfId="3" applyFont="1" applyFill="1" applyAlignment="1">
      <alignment horizontal="center"/>
    </xf>
    <xf numFmtId="0" fontId="22" fillId="2" borderId="0" xfId="3" applyFont="1" applyFill="1"/>
    <xf numFmtId="0" fontId="2" fillId="2" borderId="0" xfId="3" applyFont="1" applyFill="1" applyAlignment="1">
      <alignment horizontal="center"/>
    </xf>
    <xf numFmtId="0" fontId="7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0" fontId="22" fillId="2" borderId="0" xfId="3" applyFont="1" applyFill="1" applyAlignment="1">
      <alignment horizontal="center"/>
    </xf>
    <xf numFmtId="0" fontId="22" fillId="2" borderId="0" xfId="3" applyFont="1" applyFill="1"/>
    <xf numFmtId="0" fontId="24" fillId="2" borderId="0" xfId="4" applyFont="1" applyFill="1" applyBorder="1" applyAlignment="1">
      <alignment horizontal="center"/>
    </xf>
    <xf numFmtId="4" fontId="24" fillId="0" borderId="0" xfId="4" applyNumberFormat="1" applyFont="1" applyFill="1" applyBorder="1" applyAlignment="1">
      <alignment horizontal="center"/>
    </xf>
    <xf numFmtId="0" fontId="9" fillId="0" borderId="1" xfId="3" applyNumberFormat="1" applyFont="1" applyFill="1" applyBorder="1"/>
    <xf numFmtId="167" fontId="9" fillId="0" borderId="1" xfId="3" applyNumberFormat="1" applyFont="1" applyFill="1" applyBorder="1"/>
    <xf numFmtId="4" fontId="9" fillId="0" borderId="1" xfId="3" applyNumberFormat="1" applyFont="1" applyFill="1" applyBorder="1"/>
    <xf numFmtId="9" fontId="9" fillId="0" borderId="1" xfId="3" applyNumberFormat="1" applyFont="1" applyFill="1" applyBorder="1"/>
    <xf numFmtId="165" fontId="9" fillId="0" borderId="1" xfId="3" applyNumberFormat="1" applyFont="1" applyFill="1" applyBorder="1"/>
    <xf numFmtId="165" fontId="10" fillId="0" borderId="1" xfId="3" applyNumberFormat="1" applyFont="1" applyFill="1" applyBorder="1"/>
    <xf numFmtId="164" fontId="9" fillId="0" borderId="1" xfId="3" applyNumberFormat="1" applyFont="1" applyFill="1" applyBorder="1"/>
    <xf numFmtId="167" fontId="9" fillId="0" borderId="1" xfId="5" applyNumberFormat="1" applyFont="1" applyFill="1" applyBorder="1"/>
    <xf numFmtId="9" fontId="9" fillId="0" borderId="1" xfId="7" applyFont="1" applyFill="1" applyBorder="1"/>
    <xf numFmtId="167" fontId="9" fillId="0" borderId="1" xfId="6" applyNumberFormat="1" applyFont="1" applyFill="1" applyBorder="1" applyAlignment="1">
      <alignment horizontal="right" vertical="center"/>
    </xf>
    <xf numFmtId="167" fontId="15" fillId="0" borderId="1" xfId="6" applyNumberFormat="1" applyFont="1" applyFill="1" applyBorder="1" applyAlignment="1">
      <alignment horizontal="right" vertical="center"/>
    </xf>
    <xf numFmtId="4" fontId="15" fillId="0" borderId="1" xfId="3" applyNumberFormat="1" applyFont="1" applyFill="1" applyBorder="1"/>
    <xf numFmtId="165" fontId="15" fillId="0" borderId="1" xfId="3" applyNumberFormat="1" applyFont="1" applyFill="1" applyBorder="1"/>
    <xf numFmtId="9" fontId="15" fillId="0" borderId="1" xfId="3" applyNumberFormat="1" applyFont="1" applyFill="1" applyBorder="1"/>
    <xf numFmtId="8" fontId="9" fillId="0" borderId="1" xfId="6" applyNumberFormat="1" applyFont="1" applyFill="1" applyBorder="1" applyAlignment="1">
      <alignment horizontal="right" vertical="center"/>
    </xf>
    <xf numFmtId="4" fontId="9" fillId="0" borderId="1" xfId="2" applyNumberFormat="1" applyFont="1" applyFill="1" applyBorder="1"/>
    <xf numFmtId="9" fontId="9" fillId="0" borderId="1" xfId="2" applyNumberFormat="1" applyFont="1" applyFill="1" applyBorder="1"/>
    <xf numFmtId="165" fontId="9" fillId="0" borderId="1" xfId="2" applyNumberFormat="1" applyFont="1" applyFill="1" applyBorder="1"/>
    <xf numFmtId="0" fontId="9" fillId="0" borderId="1" xfId="3" applyFont="1" applyFill="1" applyBorder="1"/>
    <xf numFmtId="0" fontId="2" fillId="2" borderId="0" xfId="3" applyFont="1" applyFill="1" applyAlignment="1">
      <alignment horizontal="center"/>
    </xf>
    <xf numFmtId="0" fontId="7" fillId="3" borderId="1" xfId="3" applyFont="1" applyFill="1" applyBorder="1" applyAlignment="1">
      <alignment horizontal="center"/>
    </xf>
    <xf numFmtId="0" fontId="8" fillId="3" borderId="1" xfId="3" applyFont="1" applyFill="1" applyBorder="1" applyAlignment="1">
      <alignment horizontal="center"/>
    </xf>
    <xf numFmtId="0" fontId="7" fillId="3" borderId="2" xfId="3" applyFont="1" applyFill="1" applyBorder="1" applyAlignment="1">
      <alignment horizontal="center" vertical="center" wrapText="1"/>
    </xf>
    <xf numFmtId="0" fontId="7" fillId="3" borderId="3" xfId="3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wrapText="1"/>
    </xf>
    <xf numFmtId="0" fontId="7" fillId="3" borderId="1" xfId="3" applyFont="1" applyFill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/>
    </xf>
    <xf numFmtId="0" fontId="20" fillId="2" borderId="1" xfId="3" applyFont="1" applyFill="1" applyBorder="1" applyAlignment="1">
      <alignment horizontal="left"/>
    </xf>
    <xf numFmtId="0" fontId="20" fillId="2" borderId="4" xfId="3" applyFont="1" applyFill="1" applyBorder="1" applyAlignment="1">
      <alignment horizontal="center"/>
    </xf>
    <xf numFmtId="0" fontId="20" fillId="2" borderId="5" xfId="3" applyFont="1" applyFill="1" applyBorder="1" applyAlignment="1">
      <alignment horizontal="center"/>
    </xf>
    <xf numFmtId="0" fontId="20" fillId="2" borderId="6" xfId="3" applyFont="1" applyFill="1" applyBorder="1" applyAlignment="1">
      <alignment horizontal="center"/>
    </xf>
    <xf numFmtId="166" fontId="20" fillId="2" borderId="1" xfId="3" applyNumberFormat="1" applyFont="1" applyFill="1" applyBorder="1" applyAlignment="1">
      <alignment horizontal="center"/>
    </xf>
    <xf numFmtId="0" fontId="20" fillId="2" borderId="1" xfId="3" applyFont="1" applyFill="1" applyBorder="1" applyAlignment="1">
      <alignment horizontal="center" vertical="center"/>
    </xf>
    <xf numFmtId="0" fontId="21" fillId="2" borderId="0" xfId="0" applyFont="1" applyFill="1" applyBorder="1" applyAlignment="1" applyProtection="1">
      <alignment wrapText="1"/>
    </xf>
    <xf numFmtId="4" fontId="20" fillId="2" borderId="0" xfId="3" applyNumberFormat="1" applyFont="1" applyFill="1" applyBorder="1" applyAlignment="1">
      <alignment horizontal="center"/>
    </xf>
    <xf numFmtId="0" fontId="20" fillId="2" borderId="0" xfId="3" applyFont="1" applyFill="1" applyAlignment="1">
      <alignment horizontal="center"/>
    </xf>
    <xf numFmtId="44" fontId="20" fillId="2" borderId="4" xfId="5" applyFont="1" applyFill="1" applyBorder="1" applyAlignment="1">
      <alignment horizontal="center"/>
    </xf>
    <xf numFmtId="44" fontId="20" fillId="2" borderId="5" xfId="5" applyFont="1" applyFill="1" applyBorder="1" applyAlignment="1">
      <alignment horizontal="center"/>
    </xf>
    <xf numFmtId="44" fontId="20" fillId="2" borderId="6" xfId="5" applyFont="1" applyFill="1" applyBorder="1" applyAlignment="1">
      <alignment horizontal="center"/>
    </xf>
    <xf numFmtId="44" fontId="20" fillId="2" borderId="1" xfId="5" applyFont="1" applyFill="1" applyBorder="1" applyAlignment="1">
      <alignment horizontal="center"/>
    </xf>
    <xf numFmtId="0" fontId="20" fillId="0" borderId="0" xfId="4" applyFont="1" applyFill="1" applyBorder="1" applyAlignment="1">
      <alignment horizontal="center"/>
    </xf>
    <xf numFmtId="4" fontId="20" fillId="0" borderId="0" xfId="4" applyNumberFormat="1" applyFont="1" applyFill="1" applyBorder="1" applyAlignment="1">
      <alignment horizontal="center"/>
    </xf>
    <xf numFmtId="0" fontId="4" fillId="2" borderId="0" xfId="3" applyFont="1" applyFill="1" applyAlignment="1">
      <alignment horizontal="justify" vertical="center" wrapText="1"/>
    </xf>
    <xf numFmtId="0" fontId="13" fillId="0" borderId="0" xfId="3" applyAlignment="1">
      <alignment horizontal="justify" vertical="center" wrapText="1"/>
    </xf>
    <xf numFmtId="0" fontId="14" fillId="2" borderId="0" xfId="3" applyFont="1" applyFill="1" applyAlignment="1">
      <alignment horizontal="center"/>
    </xf>
    <xf numFmtId="0" fontId="4" fillId="2" borderId="0" xfId="3" applyFont="1" applyFill="1" applyBorder="1" applyAlignment="1">
      <alignment horizontal="left" vertical="top" wrapText="1"/>
    </xf>
    <xf numFmtId="0" fontId="2" fillId="2" borderId="0" xfId="3" applyFont="1" applyFill="1" applyBorder="1" applyAlignment="1">
      <alignment horizontal="left" vertical="top" wrapText="1"/>
    </xf>
    <xf numFmtId="0" fontId="4" fillId="2" borderId="0" xfId="3" applyFont="1" applyFill="1" applyAlignment="1">
      <alignment horizontal="justify" vertical="justify" wrapText="1"/>
    </xf>
    <xf numFmtId="0" fontId="4" fillId="2" borderId="0" xfId="3" applyFont="1" applyFill="1" applyAlignment="1">
      <alignment horizontal="justify" vertical="center"/>
    </xf>
    <xf numFmtId="0" fontId="4" fillId="2" borderId="0" xfId="3" applyFont="1" applyFill="1" applyAlignment="1">
      <alignment horizontal="justify" vertical="top" wrapText="1"/>
    </xf>
    <xf numFmtId="0" fontId="13" fillId="0" borderId="0" xfId="3" applyAlignment="1">
      <alignment horizontal="justify" vertical="justify" wrapText="1"/>
    </xf>
    <xf numFmtId="0" fontId="18" fillId="2" borderId="0" xfId="0" applyFont="1" applyFill="1" applyBorder="1" applyAlignment="1" applyProtection="1">
      <alignment wrapText="1"/>
    </xf>
    <xf numFmtId="0" fontId="7" fillId="2" borderId="1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/>
    </xf>
    <xf numFmtId="0" fontId="7" fillId="2" borderId="5" xfId="3" applyFont="1" applyFill="1" applyBorder="1" applyAlignment="1">
      <alignment horizontal="center"/>
    </xf>
    <xf numFmtId="0" fontId="7" fillId="2" borderId="6" xfId="3" applyFont="1" applyFill="1" applyBorder="1" applyAlignment="1">
      <alignment horizontal="center"/>
    </xf>
    <xf numFmtId="0" fontId="7" fillId="2" borderId="1" xfId="3" applyFont="1" applyFill="1" applyBorder="1" applyAlignment="1">
      <alignment horizontal="center"/>
    </xf>
    <xf numFmtId="0" fontId="6" fillId="2" borderId="1" xfId="3" applyFont="1" applyFill="1" applyBorder="1" applyAlignment="1">
      <alignment horizontal="left"/>
    </xf>
    <xf numFmtId="166" fontId="3" fillId="2" borderId="1" xfId="3" applyNumberFormat="1" applyFont="1" applyFill="1" applyBorder="1" applyAlignment="1">
      <alignment horizontal="center"/>
    </xf>
    <xf numFmtId="44" fontId="7" fillId="2" borderId="4" xfId="5" applyFont="1" applyFill="1" applyBorder="1" applyAlignment="1">
      <alignment horizontal="center"/>
    </xf>
    <xf numFmtId="44" fontId="7" fillId="2" borderId="5" xfId="5" applyFont="1" applyFill="1" applyBorder="1" applyAlignment="1">
      <alignment horizontal="center"/>
    </xf>
    <xf numFmtId="44" fontId="7" fillId="2" borderId="6" xfId="5" applyFont="1" applyFill="1" applyBorder="1" applyAlignment="1">
      <alignment horizontal="center"/>
    </xf>
    <xf numFmtId="44" fontId="6" fillId="2" borderId="1" xfId="5" applyFont="1" applyFill="1" applyBorder="1" applyAlignment="1">
      <alignment horizontal="center"/>
    </xf>
    <xf numFmtId="0" fontId="9" fillId="0" borderId="0" xfId="4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/>
    </xf>
    <xf numFmtId="0" fontId="8" fillId="2" borderId="0" xfId="3" applyFont="1" applyFill="1" applyBorder="1" applyAlignment="1">
      <alignment horizontal="center"/>
    </xf>
    <xf numFmtId="4" fontId="8" fillId="2" borderId="0" xfId="3" applyNumberFormat="1" applyFont="1" applyFill="1" applyBorder="1" applyAlignment="1">
      <alignment horizontal="center"/>
    </xf>
    <xf numFmtId="0" fontId="11" fillId="2" borderId="0" xfId="3" applyFont="1" applyFill="1" applyAlignment="1">
      <alignment horizontal="center"/>
    </xf>
    <xf numFmtId="0" fontId="19" fillId="2" borderId="0" xfId="3" applyFont="1" applyFill="1" applyBorder="1" applyAlignment="1">
      <alignment horizontal="center"/>
    </xf>
    <xf numFmtId="4" fontId="19" fillId="2" borderId="0" xfId="3" applyNumberFormat="1" applyFont="1" applyFill="1" applyBorder="1" applyAlignment="1">
      <alignment horizontal="center"/>
    </xf>
    <xf numFmtId="0" fontId="9" fillId="2" borderId="0" xfId="4" applyFont="1" applyFill="1" applyBorder="1" applyAlignment="1">
      <alignment horizontal="center"/>
    </xf>
    <xf numFmtId="4" fontId="9" fillId="2" borderId="0" xfId="4" applyNumberFormat="1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20" fillId="2" borderId="0" xfId="3" applyFont="1" applyFill="1"/>
    <xf numFmtId="0" fontId="22" fillId="2" borderId="0" xfId="3" applyFont="1" applyFill="1" applyBorder="1" applyAlignment="1">
      <alignment horizontal="center"/>
    </xf>
    <xf numFmtId="4" fontId="22" fillId="2" borderId="0" xfId="3" applyNumberFormat="1" applyFont="1" applyFill="1" applyBorder="1" applyAlignment="1">
      <alignment horizontal="center"/>
    </xf>
    <xf numFmtId="0" fontId="22" fillId="2" borderId="0" xfId="3" applyFont="1" applyFill="1" applyAlignment="1">
      <alignment horizontal="center"/>
    </xf>
    <xf numFmtId="0" fontId="22" fillId="2" borderId="0" xfId="3" applyFont="1" applyFill="1"/>
    <xf numFmtId="44" fontId="24" fillId="2" borderId="0" xfId="4" applyNumberFormat="1" applyFont="1" applyFill="1" applyBorder="1" applyAlignment="1">
      <alignment horizontal="center"/>
    </xf>
    <xf numFmtId="0" fontId="24" fillId="2" borderId="0" xfId="4" applyFont="1" applyFill="1" applyBorder="1" applyAlignment="1">
      <alignment horizontal="center"/>
    </xf>
    <xf numFmtId="4" fontId="24" fillId="2" borderId="0" xfId="4" applyNumberFormat="1" applyFont="1" applyFill="1" applyBorder="1" applyAlignment="1">
      <alignment horizontal="center"/>
    </xf>
    <xf numFmtId="0" fontId="24" fillId="0" borderId="0" xfId="4" applyFont="1" applyFill="1" applyBorder="1" applyAlignment="1">
      <alignment horizontal="center"/>
    </xf>
    <xf numFmtId="4" fontId="24" fillId="0" borderId="0" xfId="4" applyNumberFormat="1" applyFont="1" applyFill="1" applyBorder="1" applyAlignment="1">
      <alignment horizontal="center"/>
    </xf>
    <xf numFmtId="0" fontId="23" fillId="2" borderId="0" xfId="4" applyFont="1" applyFill="1" applyBorder="1" applyAlignment="1">
      <alignment horizontal="center"/>
    </xf>
    <xf numFmtId="4" fontId="23" fillId="2" borderId="0" xfId="4" applyNumberFormat="1" applyFont="1" applyFill="1" applyBorder="1" applyAlignment="1">
      <alignment horizontal="center"/>
    </xf>
    <xf numFmtId="0" fontId="23" fillId="0" borderId="0" xfId="4" applyFont="1" applyFill="1" applyBorder="1" applyAlignment="1">
      <alignment horizontal="center"/>
    </xf>
    <xf numFmtId="4" fontId="23" fillId="0" borderId="0" xfId="4" applyNumberFormat="1" applyFont="1" applyFill="1" applyBorder="1" applyAlignment="1">
      <alignment horizontal="center"/>
    </xf>
    <xf numFmtId="0" fontId="19" fillId="2" borderId="0" xfId="3" applyFont="1" applyFill="1" applyAlignment="1">
      <alignment horizontal="center"/>
    </xf>
    <xf numFmtId="0" fontId="19" fillId="2" borderId="0" xfId="3" applyFont="1" applyFill="1"/>
  </cellXfs>
  <cellStyles count="8">
    <cellStyle name="Moneda 3" xfId="5"/>
    <cellStyle name="Normal" xfId="0" builtinId="0"/>
    <cellStyle name="Normal 2" xfId="1"/>
    <cellStyle name="Normal 2 2" xfId="2"/>
    <cellStyle name="Normal 3" xfId="3"/>
    <cellStyle name="Normal 4" xfId="6"/>
    <cellStyle name="Normal 5" xfId="4"/>
    <cellStyle name="Porcentaje" xfId="7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8380413" y="647700"/>
          <a:ext cx="2200275" cy="230188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170988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170988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170988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170988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769938</xdr:colOff>
      <xdr:row>3</xdr:row>
      <xdr:rowOff>190500</xdr:rowOff>
    </xdr:from>
    <xdr:to>
      <xdr:col>14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170988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332913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332913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332913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332913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332913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170988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170988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769938</xdr:colOff>
      <xdr:row>3</xdr:row>
      <xdr:rowOff>190500</xdr:rowOff>
    </xdr:from>
    <xdr:to>
      <xdr:col>13</xdr:col>
      <xdr:colOff>674688</xdr:colOff>
      <xdr:row>5</xdr:row>
      <xdr:rowOff>68263</xdr:rowOff>
    </xdr:to>
    <xdr:sp macro="" textlink="">
      <xdr:nvSpPr>
        <xdr:cNvPr id="2" name="5 Rectángulo redondeado"/>
        <xdr:cNvSpPr/>
      </xdr:nvSpPr>
      <xdr:spPr>
        <a:xfrm>
          <a:off x="9170988" y="676275"/>
          <a:ext cx="2562225" cy="277813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4:S95"/>
  <sheetViews>
    <sheetView showGridLines="0" topLeftCell="C5" zoomScale="130" zoomScaleNormal="130" zoomScaleSheetLayoutView="100" workbookViewId="0">
      <selection activeCell="J19" sqref="J19"/>
    </sheetView>
  </sheetViews>
  <sheetFormatPr baseColWidth="10" defaultRowHeight="12.75" x14ac:dyDescent="0.2"/>
  <cols>
    <col min="1" max="1" width="26.710937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20"/>
      <c r="B7" s="20"/>
      <c r="C7" s="20"/>
      <c r="D7" s="321" t="s">
        <v>88</v>
      </c>
      <c r="E7" s="321"/>
      <c r="F7" s="321"/>
      <c r="G7" s="321"/>
      <c r="H7" s="321"/>
      <c r="I7" s="321"/>
      <c r="J7" s="20"/>
      <c r="K7" s="20"/>
      <c r="L7" s="20"/>
      <c r="M7" s="20"/>
      <c r="N7" s="20"/>
    </row>
    <row r="8" spans="1:14" ht="15.75" customHeight="1" x14ac:dyDescent="0.25">
      <c r="A8" s="85"/>
      <c r="B8" s="84"/>
      <c r="C8" s="84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1:14" ht="15.75" hidden="1" customHeight="1" x14ac:dyDescent="0.25">
      <c r="A9" s="85" t="s">
        <v>1</v>
      </c>
      <c r="B9" s="84"/>
      <c r="C9" s="84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ht="15.75" customHeight="1" x14ac:dyDescent="0.2">
      <c r="B10" s="5"/>
      <c r="C10" s="83"/>
      <c r="D10" s="5"/>
      <c r="E10" s="2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80"/>
      <c r="M12" s="80"/>
      <c r="N12" s="81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80"/>
      <c r="M13" s="80"/>
      <c r="N13" s="79" t="s">
        <v>15</v>
      </c>
    </row>
    <row r="14" spans="1:14" ht="15.75" customHeight="1" x14ac:dyDescent="0.25">
      <c r="A14" s="77" t="s">
        <v>81</v>
      </c>
      <c r="B14" s="78"/>
      <c r="C14" s="73">
        <v>1676744.67</v>
      </c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73">
        <v>0</v>
      </c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73">
        <v>845198.13</v>
      </c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73">
        <v>268718.77</v>
      </c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73">
        <v>0</v>
      </c>
      <c r="D18" s="58"/>
      <c r="E18" s="58"/>
      <c r="F18" s="60"/>
      <c r="G18" s="56"/>
      <c r="H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/>
      <c r="C19" s="73">
        <f>SUM(C14:C18)</f>
        <v>2790661.57</v>
      </c>
      <c r="D19" s="58"/>
      <c r="E19" s="58">
        <v>545605.47</v>
      </c>
      <c r="F19" s="73"/>
      <c r="G19" s="56">
        <f>+C19+D19-E19</f>
        <v>2245056.0999999996</v>
      </c>
      <c r="H19" s="56">
        <f>1158474.69+946506.81</f>
        <v>2104981.5</v>
      </c>
      <c r="I19" s="56">
        <f>150000+11+1</f>
        <v>150012</v>
      </c>
      <c r="J19" s="56">
        <f>9937+0.4</f>
        <v>9937.4</v>
      </c>
      <c r="K19" s="56">
        <f t="shared" ref="K19:K25" si="0">+H19+I19-J19</f>
        <v>2245056.1</v>
      </c>
      <c r="L19" s="56">
        <f>+G19-K19</f>
        <v>0</v>
      </c>
      <c r="M19" s="56">
        <f>+G19-K19</f>
        <v>0</v>
      </c>
      <c r="N19" s="72"/>
      <c r="O19" s="68"/>
    </row>
    <row r="20" spans="1:19" ht="15.75" customHeight="1" x14ac:dyDescent="0.25">
      <c r="A20" s="62" t="s">
        <v>75</v>
      </c>
      <c r="B20" s="61">
        <v>16873510</v>
      </c>
      <c r="C20" s="61">
        <v>1221966.52</v>
      </c>
      <c r="D20" s="58"/>
      <c r="E20" s="58">
        <v>749980.64</v>
      </c>
      <c r="F20" s="60">
        <f t="shared" ref="F20:F29" si="1">E20/C20</f>
        <v>0.61374892660725267</v>
      </c>
      <c r="G20" s="56">
        <f t="shared" ref="G20:G31" si="2">+C20+D20-E20</f>
        <v>471985.88</v>
      </c>
      <c r="H20" s="56">
        <v>512853.88</v>
      </c>
      <c r="I20" s="56">
        <v>0</v>
      </c>
      <c r="J20" s="56">
        <f>81683+1+2000</f>
        <v>83684</v>
      </c>
      <c r="K20" s="56">
        <f t="shared" si="0"/>
        <v>429169.88</v>
      </c>
      <c r="L20" s="56">
        <f t="shared" ref="L20:L33" si="3">+G20-K20</f>
        <v>42816</v>
      </c>
      <c r="M20" s="56">
        <f>+G20-K20</f>
        <v>42816</v>
      </c>
      <c r="N20" s="60">
        <f t="shared" ref="N20:N29" si="4">E20/B20</f>
        <v>4.444722171024286E-2</v>
      </c>
      <c r="O20" s="70"/>
      <c r="P20" s="71"/>
      <c r="Q20" s="48"/>
    </row>
    <row r="21" spans="1:19" ht="15.75" customHeight="1" x14ac:dyDescent="0.25">
      <c r="A21" s="62" t="s">
        <v>74</v>
      </c>
      <c r="B21" s="61">
        <v>7436006</v>
      </c>
      <c r="C21" s="61">
        <v>583722.29</v>
      </c>
      <c r="D21" s="58"/>
      <c r="E21" s="58">
        <v>580272.76</v>
      </c>
      <c r="F21" s="60">
        <f t="shared" si="1"/>
        <v>0.99409046037971238</v>
      </c>
      <c r="G21" s="56">
        <f t="shared" si="2"/>
        <v>3449.5300000000279</v>
      </c>
      <c r="H21" s="56">
        <v>91373.53</v>
      </c>
      <c r="I21" s="56">
        <v>3014</v>
      </c>
      <c r="J21" s="56">
        <f>38208+9913+1</f>
        <v>48122</v>
      </c>
      <c r="K21" s="56">
        <f t="shared" si="0"/>
        <v>46265.53</v>
      </c>
      <c r="L21" s="56">
        <f t="shared" si="3"/>
        <v>-42815.999999999971</v>
      </c>
      <c r="M21" s="56">
        <f>+G21-K21</f>
        <v>-42815.999999999971</v>
      </c>
      <c r="N21" s="60">
        <f t="shared" si="4"/>
        <v>7.8035542198325286E-2</v>
      </c>
      <c r="O21" s="70"/>
      <c r="P21" s="69"/>
      <c r="Q21" s="45"/>
    </row>
    <row r="22" spans="1:19" ht="15.75" customHeight="1" x14ac:dyDescent="0.25">
      <c r="A22" s="62" t="s">
        <v>73</v>
      </c>
      <c r="B22" s="61">
        <v>281545</v>
      </c>
      <c r="C22" s="61">
        <v>26441.29</v>
      </c>
      <c r="D22" s="58"/>
      <c r="E22" s="58">
        <v>0</v>
      </c>
      <c r="F22" s="60">
        <f>E22/C22</f>
        <v>0</v>
      </c>
      <c r="G22" s="56">
        <f>+C22+D22-E22</f>
        <v>26441.29</v>
      </c>
      <c r="H22" s="56">
        <v>26442.29</v>
      </c>
      <c r="I22" s="56">
        <v>0</v>
      </c>
      <c r="J22" s="56">
        <v>1</v>
      </c>
      <c r="K22" s="56">
        <f t="shared" si="0"/>
        <v>26441.29</v>
      </c>
      <c r="L22" s="56">
        <f t="shared" si="3"/>
        <v>0</v>
      </c>
      <c r="M22" s="56">
        <f>+G22-K22</f>
        <v>0</v>
      </c>
      <c r="N22" s="60">
        <f t="shared" si="4"/>
        <v>0</v>
      </c>
      <c r="O22" s="68"/>
    </row>
    <row r="23" spans="1:19" ht="15.75" customHeight="1" x14ac:dyDescent="0.25">
      <c r="A23" s="62" t="s">
        <v>86</v>
      </c>
      <c r="B23" s="61">
        <v>824025</v>
      </c>
      <c r="C23" s="61">
        <v>116977.07</v>
      </c>
      <c r="D23" s="58"/>
      <c r="E23" s="58">
        <v>48476.4</v>
      </c>
      <c r="F23" s="60">
        <f>E23/C23</f>
        <v>0.41440942229105243</v>
      </c>
      <c r="G23" s="56">
        <f>+C23+D23-E23</f>
        <v>68500.670000000013</v>
      </c>
      <c r="H23" s="56">
        <v>68501.67</v>
      </c>
      <c r="I23" s="56">
        <v>0</v>
      </c>
      <c r="J23" s="56">
        <v>1</v>
      </c>
      <c r="K23" s="56">
        <f t="shared" si="0"/>
        <v>68500.67</v>
      </c>
      <c r="L23" s="56">
        <f t="shared" si="3"/>
        <v>0</v>
      </c>
      <c r="M23" s="56">
        <v>0</v>
      </c>
      <c r="N23" s="60">
        <f t="shared" si="4"/>
        <v>5.8828797669973606E-2</v>
      </c>
    </row>
    <row r="24" spans="1:19" ht="15.75" customHeight="1" x14ac:dyDescent="0.25">
      <c r="A24" s="62" t="s">
        <v>72</v>
      </c>
      <c r="B24" s="61">
        <v>600184</v>
      </c>
      <c r="C24" s="61">
        <v>28847.53</v>
      </c>
      <c r="D24" s="58"/>
      <c r="E24" s="58">
        <v>0</v>
      </c>
      <c r="F24" s="60">
        <f t="shared" si="1"/>
        <v>0</v>
      </c>
      <c r="G24" s="56">
        <f t="shared" si="2"/>
        <v>28847.53</v>
      </c>
      <c r="H24" s="56">
        <v>28848.53</v>
      </c>
      <c r="I24" s="56">
        <v>0</v>
      </c>
      <c r="J24" s="56">
        <v>1</v>
      </c>
      <c r="K24" s="56">
        <f t="shared" si="0"/>
        <v>28847.53</v>
      </c>
      <c r="L24" s="56">
        <f t="shared" si="3"/>
        <v>0</v>
      </c>
      <c r="M24" s="56">
        <f t="shared" ref="M24:M33" si="5">+G24-K24</f>
        <v>0</v>
      </c>
      <c r="N24" s="60">
        <f t="shared" si="4"/>
        <v>0</v>
      </c>
    </row>
    <row r="25" spans="1:19" ht="15.75" customHeight="1" x14ac:dyDescent="0.25">
      <c r="A25" s="62" t="s">
        <v>71</v>
      </c>
      <c r="B25" s="61">
        <v>11851740</v>
      </c>
      <c r="C25" s="63">
        <v>987651.82</v>
      </c>
      <c r="D25" s="104"/>
      <c r="E25" s="104">
        <f>772522.79</f>
        <v>772522.79</v>
      </c>
      <c r="F25" s="66">
        <f t="shared" si="1"/>
        <v>0.78218130555361109</v>
      </c>
      <c r="G25" s="67">
        <f>+C25+D25-E25</f>
        <v>215129.02999999991</v>
      </c>
      <c r="H25" s="67">
        <v>417010.67</v>
      </c>
      <c r="I25" s="67">
        <v>0</v>
      </c>
      <c r="J25" s="67">
        <f>50240+846.78+793.86+1+150000</f>
        <v>201881.64</v>
      </c>
      <c r="K25" s="67">
        <f t="shared" si="0"/>
        <v>215129.02999999997</v>
      </c>
      <c r="L25" s="67">
        <f t="shared" si="3"/>
        <v>0</v>
      </c>
      <c r="M25" s="67">
        <f t="shared" si="5"/>
        <v>0</v>
      </c>
      <c r="N25" s="66">
        <f t="shared" si="4"/>
        <v>6.5182225563503754E-2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91</v>
      </c>
      <c r="B26" s="61">
        <v>3479677</v>
      </c>
      <c r="C26" s="58">
        <v>347970.59</v>
      </c>
      <c r="D26" s="104"/>
      <c r="E26" s="58">
        <v>0</v>
      </c>
      <c r="F26" s="66">
        <f t="shared" si="1"/>
        <v>0</v>
      </c>
      <c r="G26" s="67">
        <f>+C26+D26-E26</f>
        <v>347970.59</v>
      </c>
      <c r="H26" s="56">
        <v>347971.59</v>
      </c>
      <c r="I26" s="56">
        <v>0</v>
      </c>
      <c r="J26" s="56">
        <v>1</v>
      </c>
      <c r="K26" s="56">
        <f>+H26+I26-J26</f>
        <v>347970.59</v>
      </c>
      <c r="L26" s="56">
        <f t="shared" si="3"/>
        <v>0</v>
      </c>
      <c r="M26" s="56">
        <f t="shared" si="5"/>
        <v>0</v>
      </c>
      <c r="N26" s="60">
        <f t="shared" si="4"/>
        <v>0</v>
      </c>
      <c r="O26" s="64"/>
    </row>
    <row r="27" spans="1:19" ht="15.75" customHeight="1" x14ac:dyDescent="0.25">
      <c r="A27" s="62" t="s">
        <v>90</v>
      </c>
      <c r="B27" s="61"/>
      <c r="C27" s="58">
        <v>0</v>
      </c>
      <c r="D27" s="104"/>
      <c r="E27" s="58">
        <v>0</v>
      </c>
      <c r="F27" s="66">
        <v>0</v>
      </c>
      <c r="G27" s="67">
        <f>+C27+D27-E27</f>
        <v>0</v>
      </c>
      <c r="H27" s="56">
        <v>872035.46</v>
      </c>
      <c r="I27" s="56">
        <v>0</v>
      </c>
      <c r="J27" s="56">
        <v>872035.46</v>
      </c>
      <c r="K27" s="56">
        <f>+H27+I27-J27</f>
        <v>0</v>
      </c>
      <c r="L27" s="56">
        <f t="shared" si="3"/>
        <v>0</v>
      </c>
      <c r="M27" s="56">
        <f t="shared" si="5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63">
        <v>99465</v>
      </c>
      <c r="C28" s="61">
        <v>17636.59</v>
      </c>
      <c r="D28" s="58"/>
      <c r="E28" s="58">
        <v>0</v>
      </c>
      <c r="F28" s="60">
        <f t="shared" si="1"/>
        <v>0</v>
      </c>
      <c r="G28" s="56">
        <f t="shared" si="2"/>
        <v>17636.59</v>
      </c>
      <c r="H28" s="56">
        <v>17637.59</v>
      </c>
      <c r="I28" s="56">
        <v>0</v>
      </c>
      <c r="J28" s="56">
        <v>1</v>
      </c>
      <c r="K28" s="56">
        <f t="shared" ref="K28:K31" si="6">+H28+I28-J28</f>
        <v>17636.59</v>
      </c>
      <c r="L28" s="56">
        <f t="shared" si="3"/>
        <v>0</v>
      </c>
      <c r="M28" s="56">
        <f t="shared" si="5"/>
        <v>0</v>
      </c>
      <c r="N28" s="60">
        <f t="shared" si="4"/>
        <v>0</v>
      </c>
    </row>
    <row r="29" spans="1:19" ht="15.75" customHeight="1" x14ac:dyDescent="0.25">
      <c r="A29" s="62" t="s">
        <v>89</v>
      </c>
      <c r="B29" s="61">
        <v>29793</v>
      </c>
      <c r="C29" s="61">
        <v>2482.7800000000002</v>
      </c>
      <c r="D29" s="58"/>
      <c r="E29" s="58">
        <v>0</v>
      </c>
      <c r="F29" s="60">
        <f t="shared" si="1"/>
        <v>0</v>
      </c>
      <c r="G29" s="56">
        <f t="shared" si="2"/>
        <v>2482.7800000000002</v>
      </c>
      <c r="H29" s="56">
        <v>2483.7800000000002</v>
      </c>
      <c r="I29" s="56">
        <v>0</v>
      </c>
      <c r="J29" s="56">
        <v>1</v>
      </c>
      <c r="K29" s="56">
        <f t="shared" si="6"/>
        <v>2482.7800000000002</v>
      </c>
      <c r="L29" s="56">
        <f t="shared" si="3"/>
        <v>0</v>
      </c>
      <c r="M29" s="56">
        <f t="shared" si="5"/>
        <v>0</v>
      </c>
      <c r="N29" s="60">
        <f t="shared" si="4"/>
        <v>0</v>
      </c>
    </row>
    <row r="30" spans="1:19" ht="15.75" customHeight="1" x14ac:dyDescent="0.25">
      <c r="A30" s="62" t="s">
        <v>26</v>
      </c>
      <c r="B30" s="61"/>
      <c r="C30" s="61">
        <v>0</v>
      </c>
      <c r="D30" s="58"/>
      <c r="E30" s="58">
        <v>0</v>
      </c>
      <c r="F30" s="60">
        <v>0</v>
      </c>
      <c r="G30" s="56">
        <f t="shared" si="2"/>
        <v>0</v>
      </c>
      <c r="H30" s="56">
        <v>1</v>
      </c>
      <c r="I30" s="56"/>
      <c r="J30" s="56">
        <v>1</v>
      </c>
      <c r="K30" s="56">
        <f t="shared" si="6"/>
        <v>0</v>
      </c>
      <c r="L30" s="56">
        <f t="shared" si="3"/>
        <v>0</v>
      </c>
      <c r="M30" s="56">
        <f t="shared" si="5"/>
        <v>0</v>
      </c>
      <c r="N30" s="60">
        <v>0</v>
      </c>
    </row>
    <row r="31" spans="1:19" ht="15.75" customHeight="1" x14ac:dyDescent="0.25">
      <c r="A31" s="62" t="s">
        <v>85</v>
      </c>
      <c r="B31" s="61"/>
      <c r="C31" s="61">
        <v>0</v>
      </c>
      <c r="D31" s="58"/>
      <c r="E31" s="58">
        <v>0</v>
      </c>
      <c r="F31" s="60">
        <v>0</v>
      </c>
      <c r="G31" s="56">
        <f t="shared" si="2"/>
        <v>0</v>
      </c>
      <c r="H31" s="56">
        <v>1</v>
      </c>
      <c r="I31" s="56">
        <v>0</v>
      </c>
      <c r="J31" s="56">
        <v>1</v>
      </c>
      <c r="K31" s="56">
        <f t="shared" si="6"/>
        <v>0</v>
      </c>
      <c r="L31" s="56">
        <f t="shared" si="3"/>
        <v>0</v>
      </c>
      <c r="M31" s="56">
        <f t="shared" si="5"/>
        <v>0</v>
      </c>
      <c r="N31" s="60"/>
    </row>
    <row r="32" spans="1:19" ht="15.75" customHeight="1" x14ac:dyDescent="0.25">
      <c r="A32" s="62" t="s">
        <v>84</v>
      </c>
      <c r="B32" s="61"/>
      <c r="C32" s="61">
        <v>0</v>
      </c>
      <c r="D32" s="58"/>
      <c r="E32" s="58">
        <v>0</v>
      </c>
      <c r="F32" s="60"/>
      <c r="G32" s="56"/>
      <c r="H32" s="56">
        <v>1</v>
      </c>
      <c r="I32" s="56"/>
      <c r="J32" s="56"/>
      <c r="K32" s="56"/>
      <c r="L32" s="56">
        <f t="shared" si="3"/>
        <v>0</v>
      </c>
      <c r="M32" s="56">
        <f t="shared" si="5"/>
        <v>0</v>
      </c>
      <c r="N32" s="60"/>
    </row>
    <row r="33" spans="1:18" ht="15.75" customHeight="1" x14ac:dyDescent="0.25">
      <c r="A33" s="107" t="s">
        <v>92</v>
      </c>
      <c r="B33" s="108"/>
      <c r="C33" s="108"/>
      <c r="D33" s="108"/>
      <c r="E33" s="108">
        <v>0</v>
      </c>
      <c r="F33" s="109">
        <v>0</v>
      </c>
      <c r="G33" s="110">
        <f t="shared" ref="G33" si="7">C33-E33</f>
        <v>0</v>
      </c>
      <c r="H33" s="110">
        <v>173.01</v>
      </c>
      <c r="I33" s="110">
        <v>103243.35</v>
      </c>
      <c r="J33" s="110">
        <f>103243.35+173.01</f>
        <v>103416.36</v>
      </c>
      <c r="K33" s="110">
        <f t="shared" ref="K33" si="8">G33-H33+J33-I33</f>
        <v>0</v>
      </c>
      <c r="L33" s="56">
        <f t="shared" si="3"/>
        <v>0</v>
      </c>
      <c r="M33" s="56">
        <f t="shared" si="5"/>
        <v>0</v>
      </c>
      <c r="N33" s="60"/>
    </row>
    <row r="34" spans="1:18" ht="15.75" customHeight="1" x14ac:dyDescent="0.25">
      <c r="A34" s="59" t="s">
        <v>68</v>
      </c>
      <c r="B34" s="58">
        <f>SUM(B19:B29)</f>
        <v>41475945</v>
      </c>
      <c r="C34" s="58">
        <f>SUM(C19:C32)</f>
        <v>6124358.0500000007</v>
      </c>
      <c r="D34" s="58">
        <f>SUM(D19:D31)</f>
        <v>0</v>
      </c>
      <c r="E34" s="58">
        <f>SUM(E19:E32)</f>
        <v>2696858.0599999996</v>
      </c>
      <c r="F34" s="57"/>
      <c r="G34" s="56">
        <f>SUM(G20:G29)</f>
        <v>1182443.8900000001</v>
      </c>
      <c r="H34" s="56">
        <f t="shared" ref="H34:M34" si="9">SUM(H19:H33)</f>
        <v>4490316.4999999991</v>
      </c>
      <c r="I34" s="56">
        <f t="shared" si="9"/>
        <v>256269.35</v>
      </c>
      <c r="J34" s="56">
        <f t="shared" si="9"/>
        <v>1319084.8600000001</v>
      </c>
      <c r="K34" s="56">
        <f t="shared" si="9"/>
        <v>3427499.9899999988</v>
      </c>
      <c r="L34" s="56">
        <f t="shared" si="9"/>
        <v>2.9103830456733704E-11</v>
      </c>
      <c r="M34" s="56">
        <f t="shared" si="9"/>
        <v>2.9103830456733704E-11</v>
      </c>
      <c r="N34" s="56"/>
    </row>
    <row r="35" spans="1:18" ht="15.75" customHeight="1" x14ac:dyDescent="0.25">
      <c r="A35" s="335" t="s">
        <v>97</v>
      </c>
      <c r="B35" s="335"/>
      <c r="C35" s="335"/>
      <c r="D35" s="335"/>
      <c r="E35" s="335"/>
      <c r="F35" s="335"/>
      <c r="G35" s="335"/>
      <c r="H35" s="335"/>
      <c r="I35" s="335"/>
      <c r="J35" s="335"/>
      <c r="K35" s="335"/>
      <c r="L35" s="335"/>
      <c r="M35" s="55"/>
      <c r="N35" s="54"/>
    </row>
    <row r="36" spans="1:18" ht="15.75" customHeight="1" x14ac:dyDescent="0.25">
      <c r="A36" s="335"/>
      <c r="B36" s="335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55"/>
      <c r="N36" s="54"/>
    </row>
    <row r="37" spans="1:18" ht="30" customHeight="1" x14ac:dyDescent="0.2">
      <c r="A37" s="335"/>
      <c r="B37" s="335"/>
      <c r="C37" s="335"/>
      <c r="D37" s="335"/>
      <c r="E37" s="335"/>
      <c r="F37" s="335"/>
      <c r="G37" s="335"/>
      <c r="H37" s="335"/>
      <c r="I37" s="335"/>
      <c r="J37" s="335"/>
      <c r="K37" s="335"/>
      <c r="L37" s="335"/>
      <c r="M37" s="53"/>
      <c r="N37" s="52"/>
      <c r="O37" s="52"/>
      <c r="P37" s="52"/>
      <c r="Q37" s="52"/>
      <c r="R37" s="52"/>
    </row>
    <row r="38" spans="1:18" ht="15.75" customHeight="1" x14ac:dyDescent="0.2">
      <c r="A38" s="122"/>
      <c r="B38" s="122"/>
      <c r="C38" s="124"/>
      <c r="D38" s="125"/>
      <c r="E38" s="125"/>
      <c r="F38" s="125"/>
      <c r="G38" s="125"/>
      <c r="H38" s="126"/>
      <c r="I38" s="126"/>
      <c r="J38" s="127"/>
      <c r="K38" s="128"/>
      <c r="L38" s="122"/>
      <c r="M38" s="48"/>
    </row>
    <row r="39" spans="1:18" ht="15.75" hidden="1" customHeight="1" x14ac:dyDescent="0.2">
      <c r="A39" s="122"/>
      <c r="B39" s="334" t="s">
        <v>16</v>
      </c>
      <c r="C39" s="334"/>
      <c r="D39" s="330" t="s">
        <v>17</v>
      </c>
      <c r="E39" s="331"/>
      <c r="F39" s="332"/>
      <c r="G39" s="328" t="s">
        <v>18</v>
      </c>
      <c r="H39" s="328"/>
      <c r="I39" s="129" t="s">
        <v>8</v>
      </c>
      <c r="J39" s="122"/>
      <c r="K39" s="127"/>
      <c r="L39" s="122"/>
      <c r="M39" s="48"/>
    </row>
    <row r="40" spans="1:18" ht="15.75" hidden="1" customHeight="1" x14ac:dyDescent="0.2">
      <c r="A40" s="122"/>
      <c r="B40" s="329" t="s">
        <v>19</v>
      </c>
      <c r="C40" s="329"/>
      <c r="D40" s="330"/>
      <c r="E40" s="331"/>
      <c r="F40" s="332"/>
      <c r="G40" s="333"/>
      <c r="H40" s="333"/>
      <c r="I40" s="130"/>
      <c r="J40" s="122"/>
      <c r="K40" s="128"/>
      <c r="L40" s="122"/>
      <c r="M40" s="47"/>
    </row>
    <row r="41" spans="1:18" ht="15.75" hidden="1" customHeight="1" x14ac:dyDescent="0.2">
      <c r="A41" s="122"/>
      <c r="B41" s="328" t="s">
        <v>20</v>
      </c>
      <c r="C41" s="328"/>
      <c r="D41" s="338"/>
      <c r="E41" s="339"/>
      <c r="F41" s="340"/>
      <c r="G41" s="341"/>
      <c r="H41" s="341"/>
      <c r="I41" s="130" t="e">
        <f>G41/D41</f>
        <v>#DIV/0!</v>
      </c>
      <c r="J41" s="122"/>
      <c r="K41" s="131"/>
      <c r="L41" s="122"/>
    </row>
    <row r="42" spans="1:18" ht="15.75" hidden="1" customHeight="1" x14ac:dyDescent="0.2">
      <c r="A42" s="122"/>
      <c r="B42" s="328" t="s">
        <v>21</v>
      </c>
      <c r="C42" s="328"/>
      <c r="D42" s="338"/>
      <c r="E42" s="339"/>
      <c r="F42" s="340"/>
      <c r="G42" s="341"/>
      <c r="H42" s="341"/>
      <c r="I42" s="130" t="e">
        <f>G42/D42</f>
        <v>#DIV/0!</v>
      </c>
      <c r="J42" s="132"/>
      <c r="K42" s="128"/>
      <c r="L42" s="122"/>
    </row>
    <row r="43" spans="1:18" ht="15.75" hidden="1" customHeight="1" x14ac:dyDescent="0.2">
      <c r="A43" s="122"/>
      <c r="B43" s="328" t="s">
        <v>22</v>
      </c>
      <c r="C43" s="328"/>
      <c r="D43" s="338"/>
      <c r="E43" s="339"/>
      <c r="F43" s="340"/>
      <c r="G43" s="341"/>
      <c r="H43" s="341"/>
      <c r="I43" s="130" t="e">
        <f>G43/D43</f>
        <v>#DIV/0!</v>
      </c>
      <c r="J43" s="122"/>
      <c r="K43" s="122"/>
      <c r="L43" s="122"/>
    </row>
    <row r="44" spans="1:18" ht="15.75" customHeight="1" x14ac:dyDescent="0.2">
      <c r="A44" s="122"/>
      <c r="B44" s="125"/>
      <c r="C44" s="124"/>
      <c r="D44" s="125"/>
      <c r="E44" s="125"/>
      <c r="F44" s="125"/>
      <c r="G44" s="133"/>
      <c r="H44" s="133"/>
      <c r="I44" s="134"/>
      <c r="J44" s="122"/>
      <c r="K44" s="122"/>
      <c r="L44" s="122"/>
    </row>
    <row r="45" spans="1:18" s="38" customFormat="1" ht="15" x14ac:dyDescent="0.25">
      <c r="A45" s="342" t="s">
        <v>23</v>
      </c>
      <c r="B45" s="342"/>
      <c r="C45" s="342"/>
      <c r="D45" s="342"/>
      <c r="E45" s="343" t="s">
        <v>24</v>
      </c>
      <c r="F45" s="343"/>
      <c r="G45" s="343"/>
      <c r="H45" s="343"/>
      <c r="I45" s="343"/>
      <c r="J45" s="135"/>
      <c r="K45" s="136" t="s">
        <v>25</v>
      </c>
      <c r="L45" s="136"/>
      <c r="M45" s="39"/>
      <c r="N45" s="39"/>
    </row>
    <row r="46" spans="1:18" s="29" customFormat="1" ht="15" x14ac:dyDescent="0.25">
      <c r="A46" s="137"/>
      <c r="B46" s="137"/>
      <c r="C46" s="138"/>
      <c r="D46" s="139"/>
      <c r="E46" s="140"/>
      <c r="F46" s="141"/>
      <c r="G46" s="141"/>
      <c r="H46" s="141"/>
      <c r="I46" s="142"/>
      <c r="J46" s="143"/>
      <c r="K46" s="144"/>
      <c r="L46" s="144"/>
      <c r="M46" s="33"/>
      <c r="N46" s="32"/>
    </row>
    <row r="47" spans="1:18" s="29" customFormat="1" ht="36.75" customHeight="1" x14ac:dyDescent="0.25">
      <c r="A47" s="137"/>
      <c r="B47" s="137" t="s">
        <v>101</v>
      </c>
      <c r="C47" s="138"/>
      <c r="D47" s="139"/>
      <c r="E47" s="140"/>
      <c r="F47" s="141" t="s">
        <v>102</v>
      </c>
      <c r="G47" s="141"/>
      <c r="H47" s="141"/>
      <c r="I47" s="142"/>
      <c r="J47" s="143" t="s">
        <v>103</v>
      </c>
      <c r="K47" s="144"/>
      <c r="L47" s="144"/>
      <c r="M47" s="33"/>
      <c r="N47" s="32"/>
    </row>
    <row r="48" spans="1:18" s="23" customFormat="1" ht="15.75" customHeight="1" x14ac:dyDescent="0.3">
      <c r="A48" s="122"/>
      <c r="B48" s="125" t="s">
        <v>66</v>
      </c>
      <c r="C48" s="125"/>
      <c r="D48" s="125"/>
      <c r="E48" s="123"/>
      <c r="F48" s="336" t="s">
        <v>65</v>
      </c>
      <c r="G48" s="336"/>
      <c r="H48" s="336"/>
      <c r="I48" s="145"/>
      <c r="J48" s="336" t="s">
        <v>95</v>
      </c>
      <c r="K48" s="336"/>
      <c r="L48" s="124"/>
      <c r="M48" s="26"/>
    </row>
    <row r="49" spans="1:14" s="23" customFormat="1" ht="15.75" customHeight="1" x14ac:dyDescent="0.3">
      <c r="A49" s="123" t="s">
        <v>108</v>
      </c>
      <c r="B49" s="123"/>
      <c r="C49" s="123"/>
      <c r="D49" s="123"/>
      <c r="E49" s="122"/>
      <c r="F49" s="337" t="s">
        <v>109</v>
      </c>
      <c r="G49" s="337"/>
      <c r="H49" s="337"/>
      <c r="I49" s="122"/>
      <c r="J49" s="337" t="s">
        <v>110</v>
      </c>
      <c r="K49" s="337"/>
      <c r="L49" s="337"/>
      <c r="M49" s="24"/>
    </row>
    <row r="50" spans="1:14" ht="15.75" customHeight="1" x14ac:dyDescent="0.2">
      <c r="A50" s="5"/>
      <c r="B50" s="17"/>
      <c r="C50" s="17"/>
      <c r="D50" s="17"/>
      <c r="G50" s="17"/>
      <c r="H50" s="17"/>
      <c r="J50" s="17"/>
      <c r="K50" s="17"/>
      <c r="L50" s="17"/>
      <c r="M50" s="17"/>
    </row>
    <row r="51" spans="1:14" ht="15.75" customHeight="1" x14ac:dyDescent="0.2"/>
    <row r="52" spans="1:14" ht="15.75" customHeight="1" x14ac:dyDescent="0.2">
      <c r="A52" s="22" t="s">
        <v>64</v>
      </c>
    </row>
    <row r="53" spans="1:14" ht="15.75" customHeight="1" x14ac:dyDescent="0.2">
      <c r="A53" s="22"/>
    </row>
    <row r="54" spans="1:14" ht="15.75" customHeight="1" x14ac:dyDescent="0.2">
      <c r="A54" s="22"/>
    </row>
    <row r="55" spans="1:14" ht="15.75" customHeight="1" x14ac:dyDescent="0.25">
      <c r="A55" s="346" t="s">
        <v>0</v>
      </c>
      <c r="B55" s="346"/>
      <c r="C55" s="346"/>
      <c r="D55" s="346"/>
      <c r="E55" s="346"/>
      <c r="F55" s="346"/>
      <c r="G55" s="346"/>
      <c r="H55" s="346"/>
      <c r="I55" s="346"/>
      <c r="J55" s="346"/>
      <c r="K55" s="346"/>
      <c r="L55" s="346"/>
      <c r="M55" s="346"/>
      <c r="N55" s="346"/>
    </row>
    <row r="56" spans="1:14" ht="15.75" customHeight="1" x14ac:dyDescent="0.2">
      <c r="B56" s="21"/>
      <c r="C56" s="21"/>
      <c r="D56" s="21"/>
      <c r="E56" s="21"/>
      <c r="F56" s="21"/>
      <c r="G56" s="21"/>
      <c r="H56" s="21"/>
    </row>
    <row r="57" spans="1:14" s="19" customFormat="1" ht="15.75" customHeight="1" x14ac:dyDescent="0.25">
      <c r="A57" s="321" t="s">
        <v>63</v>
      </c>
      <c r="B57" s="321"/>
      <c r="C57" s="321"/>
      <c r="D57" s="20"/>
      <c r="E57" s="321" t="s">
        <v>62</v>
      </c>
      <c r="F57" s="321"/>
      <c r="G57" s="321"/>
      <c r="H57" s="321"/>
      <c r="I57" s="321"/>
      <c r="J57" s="321"/>
      <c r="K57" s="321"/>
      <c r="L57" s="321"/>
      <c r="M57" s="321"/>
      <c r="N57" s="321"/>
    </row>
    <row r="58" spans="1:14" ht="15.75" customHeight="1" x14ac:dyDescent="0.2">
      <c r="A58" s="17"/>
      <c r="B58" s="17"/>
      <c r="C58" s="18"/>
      <c r="D58" s="18"/>
      <c r="F58" s="17"/>
      <c r="G58" s="17"/>
      <c r="H58" s="17"/>
    </row>
    <row r="59" spans="1:14" ht="15.75" customHeight="1" x14ac:dyDescent="0.2">
      <c r="A59" s="16" t="s">
        <v>61</v>
      </c>
      <c r="B59" s="14"/>
      <c r="C59" s="14"/>
      <c r="D59" s="14"/>
      <c r="E59" s="347" t="s">
        <v>60</v>
      </c>
      <c r="F59" s="347"/>
      <c r="G59" s="347"/>
      <c r="H59" s="347"/>
      <c r="I59" s="347"/>
    </row>
    <row r="60" spans="1:14" ht="5.0999999999999996" customHeight="1" x14ac:dyDescent="0.2">
      <c r="A60" s="15"/>
      <c r="B60" s="15"/>
      <c r="C60" s="15"/>
      <c r="D60" s="15"/>
      <c r="E60" s="15"/>
      <c r="F60" s="10"/>
      <c r="G60" s="10"/>
    </row>
    <row r="61" spans="1:14" ht="15.75" customHeight="1" x14ac:dyDescent="0.25">
      <c r="A61" s="348" t="s">
        <v>59</v>
      </c>
      <c r="B61" s="348"/>
      <c r="C61" s="14"/>
      <c r="D61" s="14"/>
      <c r="E61" s="347" t="s">
        <v>58</v>
      </c>
      <c r="F61" s="347"/>
      <c r="G61" s="347"/>
      <c r="H61" s="347"/>
      <c r="I61" s="347"/>
      <c r="J61" s="13"/>
      <c r="K61" s="13"/>
      <c r="L61" s="13"/>
      <c r="M61" s="13"/>
      <c r="N61" s="13"/>
    </row>
    <row r="62" spans="1:14" ht="5.0999999999999996" customHeight="1" x14ac:dyDescent="0.2">
      <c r="A62" s="5"/>
      <c r="B62" s="5"/>
    </row>
    <row r="63" spans="1:14" ht="15.75" customHeight="1" x14ac:dyDescent="0.25">
      <c r="A63" s="3" t="s">
        <v>57</v>
      </c>
      <c r="B63" s="3"/>
      <c r="E63" s="2" t="s">
        <v>56</v>
      </c>
    </row>
    <row r="64" spans="1:14" ht="5.0999999999999996" customHeight="1" x14ac:dyDescent="0.2">
      <c r="A64" s="5"/>
      <c r="B64" s="5"/>
    </row>
    <row r="65" spans="1:14" ht="47.25" customHeight="1" x14ac:dyDescent="0.25">
      <c r="A65" s="11" t="s">
        <v>55</v>
      </c>
      <c r="B65" s="3"/>
      <c r="E65" s="349" t="s">
        <v>54</v>
      </c>
      <c r="F65" s="349"/>
      <c r="G65" s="349"/>
      <c r="H65" s="349"/>
      <c r="I65" s="349"/>
      <c r="J65" s="349"/>
      <c r="K65" s="349"/>
      <c r="L65" s="349"/>
      <c r="M65" s="349"/>
      <c r="N65" s="349"/>
    </row>
    <row r="66" spans="1:14" ht="5.0999999999999996" customHeight="1" x14ac:dyDescent="0.2">
      <c r="A66" s="5"/>
      <c r="B66" s="5"/>
      <c r="E66" s="12"/>
    </row>
    <row r="67" spans="1:14" ht="47.25" customHeight="1" x14ac:dyDescent="0.25">
      <c r="A67" s="11" t="s">
        <v>53</v>
      </c>
      <c r="B67" s="3"/>
      <c r="E67" s="350" t="s">
        <v>52</v>
      </c>
      <c r="F67" s="350"/>
      <c r="G67" s="350"/>
      <c r="H67" s="350"/>
      <c r="I67" s="350"/>
      <c r="J67" s="350"/>
      <c r="K67" s="350"/>
      <c r="L67" s="350"/>
      <c r="M67" s="350"/>
      <c r="N67" s="350"/>
    </row>
    <row r="68" spans="1:14" ht="5.0999999999999996" customHeight="1" x14ac:dyDescent="0.25">
      <c r="A68" s="5"/>
      <c r="B68" s="5"/>
      <c r="E68" s="2"/>
    </row>
    <row r="69" spans="1:14" ht="49.5" customHeight="1" x14ac:dyDescent="0.25">
      <c r="A69" s="11" t="s">
        <v>6</v>
      </c>
      <c r="B69" s="3"/>
      <c r="E69" s="351" t="s">
        <v>51</v>
      </c>
      <c r="F69" s="351"/>
      <c r="G69" s="351"/>
      <c r="H69" s="351"/>
      <c r="I69" s="351"/>
      <c r="J69" s="351"/>
      <c r="K69" s="351"/>
      <c r="L69" s="351"/>
      <c r="M69" s="351"/>
      <c r="N69" s="351"/>
    </row>
    <row r="70" spans="1:14" ht="5.0999999999999996" customHeight="1" x14ac:dyDescent="0.25">
      <c r="A70" s="5"/>
      <c r="B70" s="5"/>
      <c r="E70" s="2"/>
    </row>
    <row r="71" spans="1:14" ht="49.5" customHeight="1" x14ac:dyDescent="0.25">
      <c r="A71" s="11" t="s">
        <v>50</v>
      </c>
      <c r="B71" s="3"/>
      <c r="E71" s="351" t="s">
        <v>49</v>
      </c>
      <c r="F71" s="351"/>
      <c r="G71" s="351"/>
      <c r="H71" s="351"/>
      <c r="I71" s="351"/>
      <c r="J71" s="351"/>
      <c r="K71" s="351"/>
      <c r="L71" s="351"/>
      <c r="M71" s="351"/>
      <c r="N71" s="351"/>
    </row>
    <row r="72" spans="1:14" ht="5.0999999999999996" customHeight="1" x14ac:dyDescent="0.2">
      <c r="A72" s="10"/>
      <c r="B72" s="10"/>
    </row>
    <row r="73" spans="1:14" ht="30.75" customHeight="1" x14ac:dyDescent="0.25">
      <c r="A73" s="9" t="s">
        <v>8</v>
      </c>
      <c r="B73" s="3"/>
      <c r="E73" s="349" t="s">
        <v>48</v>
      </c>
      <c r="F73" s="352"/>
      <c r="G73" s="352"/>
      <c r="H73" s="352"/>
      <c r="I73" s="352"/>
      <c r="J73" s="352"/>
      <c r="K73" s="352"/>
      <c r="L73" s="352"/>
      <c r="M73" s="352"/>
      <c r="N73" s="352"/>
    </row>
    <row r="74" spans="1:14" ht="5.0999999999999996" customHeight="1" x14ac:dyDescent="0.2">
      <c r="A74" s="5"/>
      <c r="B74" s="5"/>
    </row>
    <row r="75" spans="1:14" ht="15.75" customHeight="1" x14ac:dyDescent="0.25">
      <c r="A75" s="3" t="s">
        <v>47</v>
      </c>
      <c r="B75" s="3"/>
      <c r="E75" s="2" t="s">
        <v>46</v>
      </c>
    </row>
    <row r="76" spans="1:14" ht="5.0999999999999996" customHeight="1" x14ac:dyDescent="0.2">
      <c r="A76" s="5"/>
      <c r="B76" s="5"/>
    </row>
    <row r="77" spans="1:14" ht="15.75" customHeight="1" x14ac:dyDescent="0.25">
      <c r="A77" s="8" t="s">
        <v>45</v>
      </c>
      <c r="B77" s="3"/>
      <c r="E77" s="7" t="s">
        <v>44</v>
      </c>
    </row>
    <row r="78" spans="1:14" ht="5.0999999999999996" customHeight="1" x14ac:dyDescent="0.2">
      <c r="A78" s="5"/>
      <c r="B78" s="5"/>
    </row>
    <row r="79" spans="1:14" ht="15.75" customHeight="1" x14ac:dyDescent="0.25">
      <c r="A79" s="3" t="s">
        <v>43</v>
      </c>
      <c r="B79" s="3"/>
      <c r="E79" s="2" t="s">
        <v>42</v>
      </c>
    </row>
    <row r="80" spans="1:14" ht="5.0999999999999996" customHeight="1" x14ac:dyDescent="0.2">
      <c r="A80" s="5"/>
      <c r="B80" s="5"/>
    </row>
    <row r="81" spans="1:14" ht="15.75" customHeight="1" x14ac:dyDescent="0.25">
      <c r="A81" s="3" t="s">
        <v>41</v>
      </c>
      <c r="B81" s="3"/>
      <c r="E81" s="2" t="s">
        <v>40</v>
      </c>
    </row>
    <row r="82" spans="1:14" ht="5.0999999999999996" customHeight="1" x14ac:dyDescent="0.25">
      <c r="A82" s="3"/>
      <c r="B82" s="3"/>
      <c r="E82" s="2"/>
    </row>
    <row r="83" spans="1:14" ht="15.75" customHeight="1" x14ac:dyDescent="0.25">
      <c r="A83" s="8" t="s">
        <v>39</v>
      </c>
      <c r="B83" s="3"/>
      <c r="E83" s="7" t="s">
        <v>38</v>
      </c>
    </row>
    <row r="84" spans="1:14" ht="5.0999999999999996" customHeight="1" x14ac:dyDescent="0.2">
      <c r="A84" s="5"/>
      <c r="B84" s="5"/>
    </row>
    <row r="85" spans="1:14" ht="37.5" customHeight="1" x14ac:dyDescent="0.25">
      <c r="A85" s="6" t="s">
        <v>37</v>
      </c>
      <c r="B85" s="3"/>
      <c r="E85" s="344" t="s">
        <v>36</v>
      </c>
      <c r="F85" s="345"/>
      <c r="G85" s="345"/>
      <c r="H85" s="345"/>
      <c r="I85" s="345"/>
      <c r="J85" s="345"/>
      <c r="K85" s="345"/>
      <c r="L85" s="345"/>
      <c r="M85" s="345"/>
      <c r="N85" s="345"/>
    </row>
    <row r="86" spans="1:14" ht="5.0999999999999996" customHeight="1" x14ac:dyDescent="0.2">
      <c r="A86" s="5"/>
      <c r="B86" s="5"/>
    </row>
    <row r="87" spans="1:14" ht="15.75" customHeight="1" x14ac:dyDescent="0.25">
      <c r="A87" s="3" t="s">
        <v>35</v>
      </c>
      <c r="B87" s="3"/>
      <c r="E87" s="2" t="s">
        <v>34</v>
      </c>
    </row>
    <row r="88" spans="1:14" ht="5.0999999999999996" customHeight="1" x14ac:dyDescent="0.2">
      <c r="A88" s="5"/>
      <c r="B88" s="5"/>
    </row>
    <row r="89" spans="1:14" ht="15.75" customHeight="1" x14ac:dyDescent="0.25">
      <c r="A89" s="3" t="s">
        <v>33</v>
      </c>
      <c r="B89" s="3"/>
      <c r="E89" s="2" t="s">
        <v>32</v>
      </c>
    </row>
    <row r="90" spans="1:14" ht="5.0999999999999996" customHeight="1" x14ac:dyDescent="0.2">
      <c r="A90" s="5"/>
      <c r="B90" s="5"/>
    </row>
    <row r="91" spans="1:14" ht="15.75" customHeight="1" x14ac:dyDescent="0.25">
      <c r="A91" s="3" t="s">
        <v>31</v>
      </c>
      <c r="B91" s="3"/>
      <c r="E91" s="2" t="s">
        <v>30</v>
      </c>
    </row>
    <row r="92" spans="1:14" ht="5.0999999999999996" customHeight="1" x14ac:dyDescent="0.2">
      <c r="A92" s="5"/>
      <c r="B92" s="5"/>
    </row>
    <row r="93" spans="1:14" ht="15.75" customHeight="1" x14ac:dyDescent="0.25">
      <c r="A93" s="3" t="s">
        <v>29</v>
      </c>
      <c r="B93" s="3"/>
      <c r="E93" s="2" t="s">
        <v>28</v>
      </c>
    </row>
    <row r="94" spans="1:14" ht="5.0999999999999996" customHeight="1" x14ac:dyDescent="0.2">
      <c r="A94" s="5"/>
      <c r="B94" s="5"/>
    </row>
    <row r="95" spans="1:14" ht="15.75" customHeight="1" x14ac:dyDescent="0.25">
      <c r="A95" s="4" t="s">
        <v>14</v>
      </c>
      <c r="B95" s="3"/>
      <c r="E95" s="2" t="s">
        <v>27</v>
      </c>
    </row>
  </sheetData>
  <mergeCells count="50">
    <mergeCell ref="E85:N85"/>
    <mergeCell ref="A55:N55"/>
    <mergeCell ref="A57:C57"/>
    <mergeCell ref="E57:N57"/>
    <mergeCell ref="E59:I59"/>
    <mergeCell ref="A61:B61"/>
    <mergeCell ref="E61:I61"/>
    <mergeCell ref="E65:N65"/>
    <mergeCell ref="E67:N67"/>
    <mergeCell ref="E69:N69"/>
    <mergeCell ref="E71:N71"/>
    <mergeCell ref="E73:N73"/>
    <mergeCell ref="F48:H48"/>
    <mergeCell ref="J48:K48"/>
    <mergeCell ref="F49:H49"/>
    <mergeCell ref="J49:L49"/>
    <mergeCell ref="B41:C41"/>
    <mergeCell ref="D41:F41"/>
    <mergeCell ref="G41:H41"/>
    <mergeCell ref="B42:C42"/>
    <mergeCell ref="D42:F42"/>
    <mergeCell ref="G42:H42"/>
    <mergeCell ref="B43:C43"/>
    <mergeCell ref="D43:F43"/>
    <mergeCell ref="G43:H43"/>
    <mergeCell ref="A45:D45"/>
    <mergeCell ref="E45:I45"/>
    <mergeCell ref="G39:H39"/>
    <mergeCell ref="B40:C40"/>
    <mergeCell ref="D40:F40"/>
    <mergeCell ref="G40:H40"/>
    <mergeCell ref="D7:I7"/>
    <mergeCell ref="B39:C39"/>
    <mergeCell ref="D39:F39"/>
    <mergeCell ref="A35:L37"/>
    <mergeCell ref="A4:N4"/>
    <mergeCell ref="A6:N6"/>
    <mergeCell ref="C11:G11"/>
    <mergeCell ref="H11:K11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K12:K13"/>
    <mergeCell ref="J12:J13"/>
  </mergeCells>
  <pageMargins left="0.62992125984251968" right="0.62992125984251968" top="0.39370078740157483" bottom="0.23622047244094491" header="0" footer="0"/>
  <pageSetup scale="69" fitToHeight="0" orientation="landscape" r:id="rId1"/>
  <headerFooter alignWithMargins="0">
    <oddFooter>&amp;R</oddFooter>
  </headerFooter>
  <rowBreaks count="1" manualBreakCount="1">
    <brk id="51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4:S100"/>
  <sheetViews>
    <sheetView showGridLines="0" topLeftCell="D1" zoomScale="130" zoomScaleNormal="130" zoomScaleSheetLayoutView="100" workbookViewId="0">
      <selection activeCell="J19" sqref="J19"/>
    </sheetView>
  </sheetViews>
  <sheetFormatPr baseColWidth="10" defaultRowHeight="12.75" x14ac:dyDescent="0.2"/>
  <cols>
    <col min="1" max="1" width="24.2851562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217"/>
      <c r="B7" s="217"/>
      <c r="C7" s="217"/>
      <c r="D7" s="321" t="s">
        <v>120</v>
      </c>
      <c r="E7" s="321"/>
      <c r="F7" s="321"/>
      <c r="G7" s="321"/>
      <c r="H7" s="321"/>
      <c r="I7" s="321"/>
      <c r="J7" s="217"/>
      <c r="K7" s="217"/>
      <c r="L7" s="217"/>
      <c r="M7" s="217"/>
      <c r="N7" s="217"/>
    </row>
    <row r="8" spans="1:14" ht="15.75" customHeight="1" x14ac:dyDescent="0.25">
      <c r="A8" s="85"/>
      <c r="B8" s="84"/>
      <c r="C8" s="84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</row>
    <row r="9" spans="1:14" ht="15.75" hidden="1" customHeight="1" x14ac:dyDescent="0.25">
      <c r="A9" s="85" t="s">
        <v>1</v>
      </c>
      <c r="B9" s="84"/>
      <c r="C9" s="84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</row>
    <row r="10" spans="1:14" ht="15.75" customHeight="1" x14ac:dyDescent="0.2">
      <c r="B10" s="5"/>
      <c r="C10" s="83"/>
      <c r="D10" s="5"/>
      <c r="E10" s="15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220"/>
      <c r="M12" s="220"/>
      <c r="N12" s="219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220"/>
      <c r="M13" s="220"/>
      <c r="N13" s="79" t="s">
        <v>15</v>
      </c>
    </row>
    <row r="14" spans="1:14" ht="15.75" customHeight="1" x14ac:dyDescent="0.25">
      <c r="A14" s="77" t="s">
        <v>81</v>
      </c>
      <c r="B14" s="78"/>
      <c r="C14" s="73">
        <v>4507223.07</v>
      </c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73"/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73">
        <v>3808689.57</v>
      </c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73">
        <v>1756147.5</v>
      </c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73"/>
      <c r="D18" s="58"/>
      <c r="F18" s="60"/>
      <c r="G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>
        <v>13131151.18</v>
      </c>
      <c r="C19" s="73">
        <f>SUM(C14:C18)</f>
        <v>10072060.140000001</v>
      </c>
      <c r="D19" s="58"/>
      <c r="E19" s="58">
        <v>7857700.2599999998</v>
      </c>
      <c r="F19" s="271">
        <f>E19/C19</f>
        <v>0.78014826666831238</v>
      </c>
      <c r="G19" s="56">
        <f t="shared" ref="G19:G33" si="0">+C19+D19-E19</f>
        <v>2214359.8800000008</v>
      </c>
      <c r="H19" s="56">
        <f>379889.93+1850435.87</f>
        <v>2230325.8000000003</v>
      </c>
      <c r="I19" s="56">
        <v>0</v>
      </c>
      <c r="J19" s="56">
        <f>0.4+9937+80+291.82+311.5+1293.1+2586.21+258.62</f>
        <v>14758.65</v>
      </c>
      <c r="K19" s="56">
        <f t="shared" ref="K19" si="1">+H19+I19-J19</f>
        <v>2215567.1500000004</v>
      </c>
      <c r="L19" s="73">
        <f>+G19-K19</f>
        <v>-1207.269999999553</v>
      </c>
      <c r="M19" s="73">
        <f t="shared" ref="M19" si="2">G19-K19</f>
        <v>-1207.269999999553</v>
      </c>
      <c r="N19" s="72"/>
      <c r="O19" s="68"/>
    </row>
    <row r="20" spans="1:19" ht="15.75" customHeight="1" x14ac:dyDescent="0.25">
      <c r="A20" s="62" t="s">
        <v>75</v>
      </c>
      <c r="B20" s="61">
        <v>16873510</v>
      </c>
      <c r="C20" s="61">
        <v>9312004.0700000003</v>
      </c>
      <c r="D20" s="58"/>
      <c r="E20" s="58">
        <v>7380437.8499999996</v>
      </c>
      <c r="F20" s="60">
        <f t="shared" ref="F20:F30" si="3">E20/C20</f>
        <v>0.79257244676010963</v>
      </c>
      <c r="G20" s="56">
        <f t="shared" si="0"/>
        <v>1931566.2200000007</v>
      </c>
      <c r="H20" s="56">
        <v>1923146.38</v>
      </c>
      <c r="I20" s="56">
        <v>0</v>
      </c>
      <c r="J20" s="56">
        <f>81887+21740</f>
        <v>103627</v>
      </c>
      <c r="K20" s="56">
        <f t="shared" ref="K20:K34" si="4">+H20+I20-J20</f>
        <v>1819519.38</v>
      </c>
      <c r="L20" s="73">
        <f>+G20-K20</f>
        <v>112046.84000000078</v>
      </c>
      <c r="M20" s="56">
        <f t="shared" ref="M20:M34" si="5">G20-K20</f>
        <v>112046.84000000078</v>
      </c>
      <c r="N20" s="60">
        <f t="shared" ref="N20:N29" si="6">E20/B20</f>
        <v>0.43739790061463202</v>
      </c>
      <c r="O20" s="70"/>
      <c r="P20" s="71"/>
      <c r="Q20" s="48"/>
    </row>
    <row r="21" spans="1:19" ht="15.75" customHeight="1" x14ac:dyDescent="0.25">
      <c r="A21" s="62" t="s">
        <v>74</v>
      </c>
      <c r="B21" s="61">
        <v>7436006</v>
      </c>
      <c r="C21" s="61">
        <v>5017867.95</v>
      </c>
      <c r="D21" s="58"/>
      <c r="E21" s="58">
        <v>4869151.9800000004</v>
      </c>
      <c r="F21" s="60">
        <f t="shared" si="3"/>
        <v>0.97036271749638214</v>
      </c>
      <c r="G21" s="56">
        <f t="shared" si="0"/>
        <v>148715.96999999974</v>
      </c>
      <c r="H21" s="56">
        <v>276312.96999999997</v>
      </c>
      <c r="I21" s="56">
        <v>0</v>
      </c>
      <c r="J21" s="56">
        <f>44213+43582</f>
        <v>87795</v>
      </c>
      <c r="K21" s="56">
        <f t="shared" si="4"/>
        <v>188517.96999999997</v>
      </c>
      <c r="L21" s="73">
        <f t="shared" ref="L21:L34" si="7">+G21-K21</f>
        <v>-39802.000000000233</v>
      </c>
      <c r="M21" s="56">
        <f t="shared" si="5"/>
        <v>-39802.000000000233</v>
      </c>
      <c r="N21" s="60">
        <f t="shared" si="6"/>
        <v>0.65480743022531185</v>
      </c>
      <c r="O21" s="70"/>
      <c r="P21" s="69"/>
      <c r="Q21" s="45"/>
    </row>
    <row r="22" spans="1:19" ht="15.75" customHeight="1" x14ac:dyDescent="0.25">
      <c r="A22" s="62" t="s">
        <v>73</v>
      </c>
      <c r="B22" s="61">
        <v>281545</v>
      </c>
      <c r="C22" s="63">
        <v>176187.86</v>
      </c>
      <c r="D22" s="104"/>
      <c r="E22" s="58">
        <v>125311.76</v>
      </c>
      <c r="F22" s="60">
        <f>E22/C22</f>
        <v>0.7112394690530891</v>
      </c>
      <c r="G22" s="56">
        <f>+C22+D22-E22</f>
        <v>50876.099999999991</v>
      </c>
      <c r="H22" s="56">
        <v>50876.1</v>
      </c>
      <c r="I22" s="56">
        <v>0</v>
      </c>
      <c r="J22" s="56">
        <v>0</v>
      </c>
      <c r="K22" s="56">
        <f t="shared" si="4"/>
        <v>50876.1</v>
      </c>
      <c r="L22" s="73">
        <f t="shared" si="7"/>
        <v>0</v>
      </c>
      <c r="M22" s="56">
        <f t="shared" si="5"/>
        <v>0</v>
      </c>
      <c r="N22" s="60">
        <f t="shared" si="6"/>
        <v>0.44508607860199967</v>
      </c>
      <c r="O22" s="68"/>
    </row>
    <row r="23" spans="1:19" ht="15.75" customHeight="1" x14ac:dyDescent="0.25">
      <c r="A23" s="62" t="s">
        <v>86</v>
      </c>
      <c r="B23" s="61">
        <v>824025</v>
      </c>
      <c r="C23" s="61">
        <v>582929.59</v>
      </c>
      <c r="D23" s="58"/>
      <c r="E23" s="58">
        <v>495170.98</v>
      </c>
      <c r="F23" s="60">
        <f t="shared" ref="F23:F25" si="8">E23/C23</f>
        <v>0.84945246989434864</v>
      </c>
      <c r="G23" s="56">
        <f>+C23+D23-E23</f>
        <v>87758.609999999986</v>
      </c>
      <c r="H23" s="56">
        <v>87758.61</v>
      </c>
      <c r="I23" s="56">
        <v>0</v>
      </c>
      <c r="J23" s="56">
        <v>0</v>
      </c>
      <c r="K23" s="56">
        <f t="shared" si="4"/>
        <v>87758.61</v>
      </c>
      <c r="L23" s="73">
        <f t="shared" si="7"/>
        <v>0</v>
      </c>
      <c r="M23" s="56">
        <f t="shared" si="5"/>
        <v>0</v>
      </c>
      <c r="N23" s="60">
        <f t="shared" si="6"/>
        <v>0.60091742362185607</v>
      </c>
    </row>
    <row r="24" spans="1:19" ht="15.75" customHeight="1" x14ac:dyDescent="0.25">
      <c r="A24" s="62" t="s">
        <v>72</v>
      </c>
      <c r="B24" s="61">
        <v>600184</v>
      </c>
      <c r="C24" s="61">
        <v>279082.59000000003</v>
      </c>
      <c r="D24" s="58"/>
      <c r="E24" s="58">
        <v>231026.71</v>
      </c>
      <c r="F24" s="60">
        <f t="shared" si="8"/>
        <v>0.82780767514017972</v>
      </c>
      <c r="G24" s="56">
        <f t="shared" si="0"/>
        <v>48055.880000000034</v>
      </c>
      <c r="H24" s="56">
        <v>48055.88</v>
      </c>
      <c r="I24" s="56">
        <v>0</v>
      </c>
      <c r="J24" s="56">
        <v>0</v>
      </c>
      <c r="K24" s="56">
        <f t="shared" si="4"/>
        <v>48055.88</v>
      </c>
      <c r="L24" s="73">
        <f t="shared" si="7"/>
        <v>0</v>
      </c>
      <c r="M24" s="56">
        <f t="shared" si="5"/>
        <v>0</v>
      </c>
      <c r="N24" s="60">
        <f t="shared" si="6"/>
        <v>0.3849264725484185</v>
      </c>
    </row>
    <row r="25" spans="1:19" ht="15.75" customHeight="1" x14ac:dyDescent="0.25">
      <c r="A25" s="62" t="s">
        <v>93</v>
      </c>
      <c r="B25" s="61">
        <v>11851740</v>
      </c>
      <c r="C25" s="63">
        <v>7901418.1900000004</v>
      </c>
      <c r="D25" s="104"/>
      <c r="E25" s="104">
        <v>7470829.71</v>
      </c>
      <c r="F25" s="60">
        <f t="shared" si="8"/>
        <v>0.94550491194796504</v>
      </c>
      <c r="G25" s="56">
        <f t="shared" si="0"/>
        <v>430588.48000000045</v>
      </c>
      <c r="H25" s="67">
        <v>547961.48</v>
      </c>
      <c r="I25" s="67">
        <v>0</v>
      </c>
      <c r="J25" s="67">
        <f>47076+0.22-740-0.79</f>
        <v>46335.43</v>
      </c>
      <c r="K25" s="56">
        <f t="shared" si="4"/>
        <v>501626.05</v>
      </c>
      <c r="L25" s="73">
        <f t="shared" si="7"/>
        <v>-71037.569999999541</v>
      </c>
      <c r="M25" s="56">
        <f t="shared" si="5"/>
        <v>-71037.569999999541</v>
      </c>
      <c r="N25" s="66">
        <f t="shared" si="6"/>
        <v>0.63035720577737953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91</v>
      </c>
      <c r="B26" s="61">
        <v>3479677</v>
      </c>
      <c r="C26" s="61">
        <v>2784384.84</v>
      </c>
      <c r="D26" s="104"/>
      <c r="E26" s="58">
        <v>0</v>
      </c>
      <c r="F26" s="66">
        <f>E26/H26</f>
        <v>0</v>
      </c>
      <c r="G26" s="67">
        <f>+H26+D26-E26</f>
        <v>2784384.84</v>
      </c>
      <c r="H26" s="58">
        <v>2784384.84</v>
      </c>
      <c r="I26" s="56">
        <v>0</v>
      </c>
      <c r="J26" s="56">
        <v>0</v>
      </c>
      <c r="K26" s="56">
        <f t="shared" si="4"/>
        <v>2784384.84</v>
      </c>
      <c r="L26" s="73">
        <f t="shared" si="7"/>
        <v>0</v>
      </c>
      <c r="M26" s="56">
        <f t="shared" si="5"/>
        <v>0</v>
      </c>
      <c r="N26" s="60">
        <f t="shared" si="6"/>
        <v>0</v>
      </c>
      <c r="O26" s="64"/>
    </row>
    <row r="27" spans="1:19" ht="15.75" customHeight="1" x14ac:dyDescent="0.25">
      <c r="A27" s="62" t="s">
        <v>90</v>
      </c>
      <c r="B27" s="61"/>
      <c r="C27" s="58">
        <v>0</v>
      </c>
      <c r="D27" s="104"/>
      <c r="E27" s="58">
        <v>0</v>
      </c>
      <c r="F27" s="66">
        <v>0</v>
      </c>
      <c r="G27" s="67">
        <f>+C27+D27-E27</f>
        <v>0</v>
      </c>
      <c r="H27" s="56">
        <v>0</v>
      </c>
      <c r="I27" s="56">
        <v>0</v>
      </c>
      <c r="J27" s="56">
        <v>0</v>
      </c>
      <c r="K27" s="56">
        <f>+H27+I27-J27</f>
        <v>0</v>
      </c>
      <c r="L27" s="73">
        <f t="shared" si="7"/>
        <v>0</v>
      </c>
      <c r="M27" s="56">
        <f t="shared" si="5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63">
        <v>99465</v>
      </c>
      <c r="C28" s="61">
        <v>119097.35</v>
      </c>
      <c r="D28" s="58"/>
      <c r="E28" s="58">
        <v>87506.27</v>
      </c>
      <c r="F28" s="60">
        <f t="shared" si="3"/>
        <v>0.73474573531652887</v>
      </c>
      <c r="G28" s="67">
        <f>+C28+D28-E28</f>
        <v>31591.08</v>
      </c>
      <c r="H28" s="56">
        <v>31591.08</v>
      </c>
      <c r="I28" s="56">
        <v>0</v>
      </c>
      <c r="J28" s="56">
        <v>0</v>
      </c>
      <c r="K28" s="56">
        <f t="shared" si="4"/>
        <v>31591.08</v>
      </c>
      <c r="L28" s="73">
        <f t="shared" si="7"/>
        <v>0</v>
      </c>
      <c r="M28" s="56">
        <f t="shared" si="5"/>
        <v>0</v>
      </c>
      <c r="N28" s="60">
        <f t="shared" si="6"/>
        <v>0.87976946664655908</v>
      </c>
    </row>
    <row r="29" spans="1:19" ht="15.75" customHeight="1" x14ac:dyDescent="0.25">
      <c r="A29" s="62" t="s">
        <v>69</v>
      </c>
      <c r="B29" s="61">
        <v>29793</v>
      </c>
      <c r="C29" s="61">
        <v>19866.71</v>
      </c>
      <c r="D29" s="58"/>
      <c r="E29" s="58">
        <v>0</v>
      </c>
      <c r="F29" s="60">
        <f t="shared" si="3"/>
        <v>0</v>
      </c>
      <c r="G29" s="56">
        <f t="shared" si="0"/>
        <v>19866.71</v>
      </c>
      <c r="H29" s="56">
        <v>19866.71</v>
      </c>
      <c r="I29" s="56">
        <v>0</v>
      </c>
      <c r="J29" s="56">
        <v>0</v>
      </c>
      <c r="K29" s="56">
        <f t="shared" si="4"/>
        <v>19866.71</v>
      </c>
      <c r="L29" s="73">
        <f t="shared" si="7"/>
        <v>0</v>
      </c>
      <c r="M29" s="56">
        <f t="shared" si="5"/>
        <v>0</v>
      </c>
      <c r="N29" s="60">
        <f t="shared" si="6"/>
        <v>0</v>
      </c>
    </row>
    <row r="30" spans="1:19" ht="15.75" customHeight="1" x14ac:dyDescent="0.25">
      <c r="A30" s="62" t="s">
        <v>26</v>
      </c>
      <c r="B30" s="61">
        <v>68757.710000000006</v>
      </c>
      <c r="C30" s="112">
        <v>68779.88</v>
      </c>
      <c r="D30" s="58"/>
      <c r="E30" s="58">
        <v>0</v>
      </c>
      <c r="F30" s="60">
        <f t="shared" si="3"/>
        <v>0</v>
      </c>
      <c r="G30" s="56">
        <f>+C30+D30-E30</f>
        <v>68779.88</v>
      </c>
      <c r="H30" s="56">
        <v>68779.88</v>
      </c>
      <c r="I30" s="56">
        <v>0</v>
      </c>
      <c r="J30" s="56">
        <v>0</v>
      </c>
      <c r="K30" s="56">
        <f t="shared" si="4"/>
        <v>68779.88</v>
      </c>
      <c r="L30" s="73">
        <f t="shared" si="7"/>
        <v>0</v>
      </c>
      <c r="M30" s="56">
        <f t="shared" si="5"/>
        <v>0</v>
      </c>
      <c r="N30" s="60">
        <v>0</v>
      </c>
    </row>
    <row r="31" spans="1:19" ht="15.75" customHeight="1" x14ac:dyDescent="0.25">
      <c r="A31" s="62" t="s">
        <v>85</v>
      </c>
      <c r="B31" s="61"/>
      <c r="C31" s="61">
        <v>0</v>
      </c>
      <c r="D31" s="58"/>
      <c r="E31" s="58">
        <v>0</v>
      </c>
      <c r="F31" s="60">
        <v>0</v>
      </c>
      <c r="G31" s="56">
        <f t="shared" si="0"/>
        <v>0</v>
      </c>
      <c r="H31" s="56">
        <v>0</v>
      </c>
      <c r="I31" s="56">
        <v>0</v>
      </c>
      <c r="J31" s="56">
        <v>0</v>
      </c>
      <c r="K31" s="56">
        <f t="shared" si="4"/>
        <v>0</v>
      </c>
      <c r="L31" s="73">
        <f t="shared" si="7"/>
        <v>0</v>
      </c>
      <c r="M31" s="56">
        <f t="shared" si="5"/>
        <v>0</v>
      </c>
      <c r="N31" s="60">
        <v>0</v>
      </c>
    </row>
    <row r="32" spans="1:19" ht="15.75" customHeight="1" x14ac:dyDescent="0.25">
      <c r="A32" s="62" t="s">
        <v>84</v>
      </c>
      <c r="B32" s="61">
        <v>2885500</v>
      </c>
      <c r="C32" s="61">
        <v>2150866.7799999998</v>
      </c>
      <c r="D32" s="58"/>
      <c r="E32" s="58">
        <v>2045888.33</v>
      </c>
      <c r="F32" s="60"/>
      <c r="G32" s="56">
        <f t="shared" si="0"/>
        <v>104978.44999999972</v>
      </c>
      <c r="H32" s="56">
        <f>104978.44+0.01</f>
        <v>104978.45</v>
      </c>
      <c r="I32" s="56"/>
      <c r="J32" s="56">
        <v>0</v>
      </c>
      <c r="K32" s="56">
        <f t="shared" si="4"/>
        <v>104978.45</v>
      </c>
      <c r="L32" s="73">
        <f t="shared" si="7"/>
        <v>-2.7648638933897018E-10</v>
      </c>
      <c r="M32" s="56">
        <f t="shared" si="5"/>
        <v>-2.7648638933897018E-10</v>
      </c>
      <c r="N32" s="60">
        <v>0</v>
      </c>
    </row>
    <row r="33" spans="1:18" ht="15.75" customHeight="1" x14ac:dyDescent="0.25">
      <c r="A33" s="62" t="s">
        <v>114</v>
      </c>
      <c r="B33" s="61">
        <v>200000</v>
      </c>
      <c r="C33" s="61">
        <v>200013.77</v>
      </c>
      <c r="D33" s="58"/>
      <c r="E33" s="58">
        <v>114500</v>
      </c>
      <c r="F33" s="60"/>
      <c r="G33" s="56">
        <f t="shared" si="0"/>
        <v>85513.76999999999</v>
      </c>
      <c r="H33" s="56">
        <v>85513.77</v>
      </c>
      <c r="I33" s="56"/>
      <c r="J33" s="56"/>
      <c r="K33" s="56">
        <f t="shared" si="4"/>
        <v>85513.77</v>
      </c>
      <c r="L33" s="73">
        <f t="shared" si="7"/>
        <v>0</v>
      </c>
      <c r="M33" s="56">
        <f t="shared" si="5"/>
        <v>0</v>
      </c>
      <c r="N33" s="60">
        <v>0</v>
      </c>
    </row>
    <row r="34" spans="1:18" ht="15.75" customHeight="1" x14ac:dyDescent="0.25">
      <c r="A34" s="107" t="s">
        <v>92</v>
      </c>
      <c r="B34" s="108"/>
      <c r="C34" s="108"/>
      <c r="D34" s="108"/>
      <c r="E34" s="268">
        <v>0</v>
      </c>
      <c r="F34" s="269">
        <v>0</v>
      </c>
      <c r="G34" s="270">
        <f t="shared" ref="G34" si="9">C34-E34</f>
        <v>0</v>
      </c>
      <c r="H34" s="270">
        <v>173.01</v>
      </c>
      <c r="I34" s="270">
        <v>103243.35</v>
      </c>
      <c r="J34" s="270">
        <f>103243.35+173.01</f>
        <v>103416.36</v>
      </c>
      <c r="K34" s="56">
        <f t="shared" si="4"/>
        <v>0</v>
      </c>
      <c r="L34" s="73">
        <f t="shared" si="7"/>
        <v>0</v>
      </c>
      <c r="M34" s="56">
        <f t="shared" si="5"/>
        <v>0</v>
      </c>
      <c r="N34" s="60">
        <v>0</v>
      </c>
    </row>
    <row r="35" spans="1:18" ht="15.75" customHeight="1" x14ac:dyDescent="0.25">
      <c r="A35" s="59" t="s">
        <v>68</v>
      </c>
      <c r="B35" s="58">
        <f>SUM(B19:B33)</f>
        <v>57761353.890000001</v>
      </c>
      <c r="C35" s="58">
        <f>SUM(C19:C34)</f>
        <v>38684559.720000014</v>
      </c>
      <c r="D35" s="58">
        <f>SUM(D19:D34)</f>
        <v>0</v>
      </c>
      <c r="E35" s="58">
        <f>SUM(E19:E34)</f>
        <v>30677523.850000001</v>
      </c>
      <c r="F35" s="57"/>
      <c r="G35" s="56">
        <f t="shared" ref="G35:M35" si="10">SUM(G19:G34)</f>
        <v>8007035.870000001</v>
      </c>
      <c r="H35" s="56">
        <f>SUM(H19:H34)</f>
        <v>8259724.96</v>
      </c>
      <c r="I35" s="56">
        <f t="shared" si="10"/>
        <v>103243.35</v>
      </c>
      <c r="J35" s="56">
        <f t="shared" si="10"/>
        <v>355932.44</v>
      </c>
      <c r="K35" s="56">
        <f t="shared" si="10"/>
        <v>8007035.8699999992</v>
      </c>
      <c r="L35" s="56">
        <f t="shared" si="10"/>
        <v>1.178705133497715E-9</v>
      </c>
      <c r="M35" s="56">
        <f t="shared" si="10"/>
        <v>1.178705133497715E-9</v>
      </c>
      <c r="N35" s="60">
        <v>0</v>
      </c>
    </row>
    <row r="36" spans="1:18" ht="15.75" customHeight="1" x14ac:dyDescent="0.25">
      <c r="A36" s="153"/>
      <c r="B36" s="154"/>
      <c r="C36" s="154"/>
      <c r="D36" s="154"/>
      <c r="E36" s="154"/>
      <c r="F36" s="155"/>
      <c r="G36" s="55"/>
      <c r="H36" s="55"/>
      <c r="I36" s="55"/>
      <c r="J36" s="55"/>
      <c r="K36" s="55"/>
      <c r="L36" s="55"/>
      <c r="M36" s="55"/>
      <c r="N36" s="55"/>
    </row>
    <row r="37" spans="1:18" ht="15.75" customHeight="1" x14ac:dyDescent="0.25">
      <c r="A37" s="153"/>
      <c r="B37" s="154"/>
      <c r="C37" s="154"/>
      <c r="D37" s="154"/>
      <c r="E37" s="154"/>
      <c r="F37" s="155"/>
      <c r="G37" s="55"/>
      <c r="H37" s="55"/>
      <c r="I37" s="55"/>
      <c r="J37" s="55"/>
      <c r="K37" s="55"/>
      <c r="L37" s="55"/>
      <c r="M37" s="55"/>
      <c r="N37" s="55"/>
    </row>
    <row r="38" spans="1:18" ht="15.75" customHeight="1" x14ac:dyDescent="0.25">
      <c r="A38" s="153"/>
      <c r="B38" s="154"/>
      <c r="C38" s="154"/>
      <c r="D38" s="154"/>
      <c r="E38" s="154"/>
      <c r="F38" s="155"/>
      <c r="G38" s="55"/>
      <c r="H38" s="55"/>
      <c r="I38" s="55"/>
      <c r="J38" s="55"/>
      <c r="K38" s="55"/>
      <c r="L38" s="55"/>
      <c r="M38" s="55"/>
      <c r="N38" s="55"/>
    </row>
    <row r="39" spans="1:18" ht="15.75" customHeight="1" x14ac:dyDescent="0.25">
      <c r="A39" s="353" t="s">
        <v>97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55"/>
      <c r="N39" s="54"/>
    </row>
    <row r="40" spans="1:18" ht="15.75" customHeight="1" x14ac:dyDescent="0.25">
      <c r="A40" s="353"/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55"/>
      <c r="N40" s="54"/>
    </row>
    <row r="41" spans="1:18" ht="24.75" customHeight="1" x14ac:dyDescent="0.25">
      <c r="A41" s="353"/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55"/>
      <c r="N41" s="54"/>
    </row>
    <row r="42" spans="1:18" ht="15.75" customHeight="1" x14ac:dyDescent="0.2">
      <c r="C42" s="374"/>
      <c r="D42" s="374"/>
      <c r="E42" s="374"/>
      <c r="F42" s="374"/>
      <c r="G42" s="374"/>
      <c r="H42" s="374"/>
      <c r="I42" s="374"/>
      <c r="J42" s="52"/>
      <c r="K42" s="53"/>
      <c r="L42" s="52"/>
      <c r="M42" s="53"/>
      <c r="N42" s="52"/>
      <c r="O42" s="52"/>
      <c r="P42" s="52"/>
      <c r="Q42" s="52"/>
      <c r="R42" s="52"/>
    </row>
    <row r="43" spans="1:18" ht="15.75" hidden="1" customHeight="1" x14ac:dyDescent="0.25">
      <c r="B43" s="354" t="s">
        <v>16</v>
      </c>
      <c r="C43" s="354"/>
      <c r="D43" s="355" t="s">
        <v>17</v>
      </c>
      <c r="E43" s="356"/>
      <c r="F43" s="357"/>
      <c r="G43" s="358" t="s">
        <v>18</v>
      </c>
      <c r="H43" s="358"/>
      <c r="I43" s="221" t="s">
        <v>8</v>
      </c>
      <c r="J43" s="48"/>
      <c r="K43" s="48"/>
      <c r="M43" s="48"/>
    </row>
    <row r="44" spans="1:18" ht="15.75" hidden="1" customHeight="1" x14ac:dyDescent="0.25">
      <c r="B44" s="359" t="s">
        <v>19</v>
      </c>
      <c r="C44" s="359"/>
      <c r="D44" s="355"/>
      <c r="E44" s="356"/>
      <c r="F44" s="357"/>
      <c r="G44" s="360"/>
      <c r="H44" s="360"/>
      <c r="I44" s="44"/>
      <c r="J44" s="48"/>
      <c r="K44" s="45"/>
      <c r="M44" s="47"/>
    </row>
    <row r="45" spans="1:18" ht="15.75" hidden="1" customHeight="1" x14ac:dyDescent="0.25">
      <c r="B45" s="358" t="s">
        <v>20</v>
      </c>
      <c r="C45" s="358"/>
      <c r="D45" s="361"/>
      <c r="E45" s="362"/>
      <c r="F45" s="363"/>
      <c r="G45" s="364"/>
      <c r="H45" s="364"/>
      <c r="I45" s="44" t="e">
        <f>G45/D45</f>
        <v>#DIV/0!</v>
      </c>
      <c r="J45" s="48"/>
      <c r="K45" s="47"/>
    </row>
    <row r="46" spans="1:18" ht="15.75" hidden="1" customHeight="1" x14ac:dyDescent="0.25">
      <c r="B46" s="358" t="s">
        <v>21</v>
      </c>
      <c r="C46" s="358"/>
      <c r="D46" s="361"/>
      <c r="E46" s="362"/>
      <c r="F46" s="363"/>
      <c r="G46" s="364"/>
      <c r="H46" s="364"/>
      <c r="I46" s="44" t="e">
        <f>G46/D46</f>
        <v>#DIV/0!</v>
      </c>
      <c r="J46" s="46"/>
      <c r="K46" s="45"/>
    </row>
    <row r="47" spans="1:18" ht="15.75" hidden="1" customHeight="1" x14ac:dyDescent="0.25">
      <c r="B47" s="358" t="s">
        <v>22</v>
      </c>
      <c r="C47" s="358"/>
      <c r="D47" s="361"/>
      <c r="E47" s="362"/>
      <c r="F47" s="363"/>
      <c r="G47" s="364"/>
      <c r="H47" s="364"/>
      <c r="I47" s="44" t="e">
        <f>G47/D47</f>
        <v>#DIV/0!</v>
      </c>
    </row>
    <row r="48" spans="1:18" ht="15.75" customHeight="1" x14ac:dyDescent="0.2">
      <c r="A48" s="226"/>
      <c r="B48" s="167"/>
      <c r="C48" s="168"/>
      <c r="D48" s="167"/>
      <c r="E48" s="167"/>
      <c r="F48" s="167"/>
      <c r="G48" s="164"/>
      <c r="H48" s="164"/>
      <c r="I48" s="165"/>
      <c r="J48" s="226"/>
      <c r="K48" s="226"/>
      <c r="L48" s="166"/>
    </row>
    <row r="49" spans="1:14" s="38" customFormat="1" ht="13.5" x14ac:dyDescent="0.25">
      <c r="A49" s="383" t="s">
        <v>23</v>
      </c>
      <c r="B49" s="383"/>
      <c r="C49" s="383"/>
      <c r="D49" s="383"/>
      <c r="E49" s="384" t="s">
        <v>24</v>
      </c>
      <c r="F49" s="384"/>
      <c r="G49" s="384"/>
      <c r="H49" s="384"/>
      <c r="I49" s="384"/>
      <c r="J49" s="169"/>
      <c r="K49" s="224" t="s">
        <v>25</v>
      </c>
      <c r="L49" s="224"/>
      <c r="M49" s="222"/>
      <c r="N49" s="222"/>
    </row>
    <row r="50" spans="1:14" s="29" customFormat="1" ht="13.5" x14ac:dyDescent="0.25">
      <c r="A50" s="223"/>
      <c r="B50" s="223"/>
      <c r="C50" s="172"/>
      <c r="D50" s="173"/>
      <c r="E50" s="174"/>
      <c r="F50" s="175"/>
      <c r="G50" s="175"/>
      <c r="H50" s="175"/>
      <c r="I50" s="176"/>
      <c r="J50" s="177"/>
      <c r="K50" s="178"/>
      <c r="L50" s="178"/>
      <c r="M50" s="33"/>
      <c r="N50" s="32"/>
    </row>
    <row r="51" spans="1:14" s="29" customFormat="1" ht="13.5" x14ac:dyDescent="0.25">
      <c r="A51" s="223"/>
      <c r="B51" s="223"/>
      <c r="C51" s="172"/>
      <c r="D51" s="173"/>
      <c r="E51" s="174"/>
      <c r="F51" s="175"/>
      <c r="G51" s="175"/>
      <c r="H51" s="175"/>
      <c r="I51" s="176"/>
      <c r="J51" s="177"/>
      <c r="K51" s="178"/>
      <c r="L51" s="178"/>
      <c r="M51" s="33"/>
      <c r="N51" s="32"/>
    </row>
    <row r="52" spans="1:14" s="29" customFormat="1" ht="26.25" customHeight="1" x14ac:dyDescent="0.25">
      <c r="A52" s="381" t="s">
        <v>98</v>
      </c>
      <c r="B52" s="381"/>
      <c r="C52" s="381"/>
      <c r="D52" s="381"/>
      <c r="E52" s="382" t="s">
        <v>100</v>
      </c>
      <c r="F52" s="382"/>
      <c r="G52" s="382"/>
      <c r="H52" s="382"/>
      <c r="I52" s="382"/>
      <c r="J52" s="180" t="s">
        <v>99</v>
      </c>
      <c r="K52" s="181"/>
      <c r="L52" s="181"/>
      <c r="M52" s="30"/>
      <c r="N52" s="30"/>
    </row>
    <row r="53" spans="1:14" s="23" customFormat="1" ht="15.75" customHeight="1" x14ac:dyDescent="0.3">
      <c r="A53" s="376" t="s">
        <v>66</v>
      </c>
      <c r="B53" s="376"/>
      <c r="C53" s="376"/>
      <c r="D53" s="376"/>
      <c r="E53" s="225"/>
      <c r="F53" s="377" t="s">
        <v>65</v>
      </c>
      <c r="G53" s="377"/>
      <c r="H53" s="377"/>
      <c r="I53" s="183"/>
      <c r="J53" s="377" t="s">
        <v>95</v>
      </c>
      <c r="K53" s="377"/>
      <c r="L53" s="377"/>
      <c r="M53" s="377"/>
    </row>
    <row r="54" spans="1:14" s="23" customFormat="1" ht="15.75" customHeight="1" x14ac:dyDescent="0.3">
      <c r="A54" s="184"/>
      <c r="B54" s="378" t="s">
        <v>107</v>
      </c>
      <c r="C54" s="378"/>
      <c r="D54" s="225"/>
      <c r="E54" s="226"/>
      <c r="F54" s="379" t="s">
        <v>111</v>
      </c>
      <c r="G54" s="379"/>
      <c r="H54" s="379"/>
      <c r="I54" s="379"/>
      <c r="J54" s="378" t="s">
        <v>110</v>
      </c>
      <c r="K54" s="378"/>
      <c r="L54" s="378"/>
      <c r="M54" s="378"/>
    </row>
    <row r="55" spans="1:14" ht="15.75" customHeight="1" x14ac:dyDescent="0.2">
      <c r="A55" s="5"/>
      <c r="B55" s="17"/>
      <c r="C55" s="17"/>
      <c r="D55" s="17"/>
      <c r="G55" s="17"/>
      <c r="H55" s="17"/>
      <c r="J55" s="17"/>
      <c r="K55" s="17"/>
      <c r="L55" s="17"/>
      <c r="M55" s="17"/>
    </row>
    <row r="56" spans="1:14" ht="15.75" customHeight="1" x14ac:dyDescent="0.2"/>
    <row r="57" spans="1:14" ht="15.75" customHeight="1" x14ac:dyDescent="0.2">
      <c r="A57" s="22" t="s">
        <v>64</v>
      </c>
    </row>
    <row r="58" spans="1:14" ht="15.75" customHeight="1" x14ac:dyDescent="0.2">
      <c r="A58" s="22"/>
    </row>
    <row r="59" spans="1:14" ht="15.75" customHeight="1" x14ac:dyDescent="0.2">
      <c r="A59" s="22"/>
    </row>
    <row r="60" spans="1:14" ht="15.75" customHeight="1" x14ac:dyDescent="0.25">
      <c r="A60" s="346" t="s">
        <v>0</v>
      </c>
      <c r="B60" s="346"/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</row>
    <row r="61" spans="1:14" ht="15.75" customHeight="1" x14ac:dyDescent="0.2">
      <c r="B61" s="21"/>
      <c r="C61" s="21"/>
      <c r="D61" s="21"/>
      <c r="E61" s="21"/>
      <c r="F61" s="21"/>
      <c r="G61" s="21"/>
      <c r="H61" s="21"/>
    </row>
    <row r="62" spans="1:14" s="19" customFormat="1" ht="15.75" customHeight="1" x14ac:dyDescent="0.25">
      <c r="A62" s="321" t="s">
        <v>63</v>
      </c>
      <c r="B62" s="321"/>
      <c r="C62" s="321"/>
      <c r="D62" s="217"/>
      <c r="E62" s="321" t="s">
        <v>62</v>
      </c>
      <c r="F62" s="321"/>
      <c r="G62" s="321"/>
      <c r="H62" s="321"/>
      <c r="I62" s="321"/>
      <c r="J62" s="321"/>
      <c r="K62" s="321"/>
      <c r="L62" s="321"/>
      <c r="M62" s="321"/>
      <c r="N62" s="321"/>
    </row>
    <row r="63" spans="1:14" ht="15.75" customHeight="1" x14ac:dyDescent="0.2">
      <c r="A63" s="17"/>
      <c r="B63" s="17"/>
      <c r="C63" s="18"/>
      <c r="D63" s="18"/>
      <c r="F63" s="17"/>
      <c r="G63" s="17"/>
      <c r="H63" s="17"/>
    </row>
    <row r="64" spans="1:14" ht="15.75" customHeight="1" x14ac:dyDescent="0.2">
      <c r="A64" s="16" t="s">
        <v>61</v>
      </c>
      <c r="B64" s="14"/>
      <c r="C64" s="14"/>
      <c r="D64" s="14"/>
      <c r="E64" s="347" t="s">
        <v>60</v>
      </c>
      <c r="F64" s="347"/>
      <c r="G64" s="347"/>
      <c r="H64" s="347"/>
      <c r="I64" s="347"/>
    </row>
    <row r="65" spans="1:14" ht="5.0999999999999996" customHeight="1" x14ac:dyDescent="0.2">
      <c r="A65" s="218"/>
      <c r="B65" s="218"/>
      <c r="C65" s="218"/>
      <c r="D65" s="218"/>
      <c r="E65" s="218"/>
      <c r="F65" s="10"/>
      <c r="G65" s="10"/>
    </row>
    <row r="66" spans="1:14" ht="15.75" customHeight="1" x14ac:dyDescent="0.25">
      <c r="A66" s="348" t="s">
        <v>59</v>
      </c>
      <c r="B66" s="348"/>
      <c r="C66" s="14"/>
      <c r="D66" s="14"/>
      <c r="E66" s="347" t="s">
        <v>58</v>
      </c>
      <c r="F66" s="347"/>
      <c r="G66" s="347"/>
      <c r="H66" s="347"/>
      <c r="I66" s="347"/>
      <c r="J66" s="13"/>
      <c r="K66" s="13"/>
      <c r="L66" s="13"/>
      <c r="M66" s="13"/>
      <c r="N66" s="13"/>
    </row>
    <row r="67" spans="1:14" ht="5.0999999999999996" customHeight="1" x14ac:dyDescent="0.2">
      <c r="A67" s="5"/>
      <c r="B67" s="5"/>
    </row>
    <row r="68" spans="1:14" ht="15.75" customHeight="1" x14ac:dyDescent="0.25">
      <c r="A68" s="3" t="s">
        <v>57</v>
      </c>
      <c r="B68" s="3"/>
      <c r="E68" s="2" t="s">
        <v>56</v>
      </c>
    </row>
    <row r="69" spans="1:14" ht="5.0999999999999996" customHeight="1" x14ac:dyDescent="0.2">
      <c r="A69" s="5"/>
      <c r="B69" s="5"/>
    </row>
    <row r="70" spans="1:14" ht="47.25" customHeight="1" x14ac:dyDescent="0.25">
      <c r="A70" s="11" t="s">
        <v>55</v>
      </c>
      <c r="B70" s="3"/>
      <c r="E70" s="349" t="s">
        <v>54</v>
      </c>
      <c r="F70" s="349"/>
      <c r="G70" s="349"/>
      <c r="H70" s="349"/>
      <c r="I70" s="349"/>
      <c r="J70" s="349"/>
      <c r="K70" s="349"/>
      <c r="L70" s="349"/>
      <c r="M70" s="349"/>
      <c r="N70" s="349"/>
    </row>
    <row r="71" spans="1:14" ht="5.0999999999999996" customHeight="1" x14ac:dyDescent="0.2">
      <c r="A71" s="5"/>
      <c r="B71" s="5"/>
      <c r="E71" s="12"/>
    </row>
    <row r="72" spans="1:14" ht="47.25" customHeight="1" x14ac:dyDescent="0.25">
      <c r="A72" s="11" t="s">
        <v>53</v>
      </c>
      <c r="B72" s="3"/>
      <c r="E72" s="350" t="s">
        <v>52</v>
      </c>
      <c r="F72" s="350"/>
      <c r="G72" s="350"/>
      <c r="H72" s="350"/>
      <c r="I72" s="350"/>
      <c r="J72" s="350"/>
      <c r="K72" s="350"/>
      <c r="L72" s="350"/>
      <c r="M72" s="350"/>
      <c r="N72" s="350"/>
    </row>
    <row r="73" spans="1:14" ht="5.0999999999999996" customHeight="1" x14ac:dyDescent="0.25">
      <c r="A73" s="5"/>
      <c r="B73" s="5"/>
      <c r="E73" s="2"/>
    </row>
    <row r="74" spans="1:14" ht="49.5" customHeight="1" x14ac:dyDescent="0.25">
      <c r="A74" s="11" t="s">
        <v>6</v>
      </c>
      <c r="B74" s="3"/>
      <c r="E74" s="351" t="s">
        <v>51</v>
      </c>
      <c r="F74" s="351"/>
      <c r="G74" s="351"/>
      <c r="H74" s="351"/>
      <c r="I74" s="351"/>
      <c r="J74" s="351"/>
      <c r="K74" s="351"/>
      <c r="L74" s="351"/>
      <c r="M74" s="351"/>
      <c r="N74" s="351"/>
    </row>
    <row r="75" spans="1:14" ht="5.0999999999999996" customHeight="1" x14ac:dyDescent="0.25">
      <c r="A75" s="5"/>
      <c r="B75" s="5"/>
      <c r="E75" s="2"/>
    </row>
    <row r="76" spans="1:14" ht="49.5" customHeight="1" x14ac:dyDescent="0.25">
      <c r="A76" s="11" t="s">
        <v>50</v>
      </c>
      <c r="B76" s="3"/>
      <c r="E76" s="351" t="s">
        <v>49</v>
      </c>
      <c r="F76" s="351"/>
      <c r="G76" s="351"/>
      <c r="H76" s="351"/>
      <c r="I76" s="351"/>
      <c r="J76" s="351"/>
      <c r="K76" s="351"/>
      <c r="L76" s="351"/>
      <c r="M76" s="351"/>
      <c r="N76" s="351"/>
    </row>
    <row r="77" spans="1:14" ht="5.0999999999999996" customHeight="1" x14ac:dyDescent="0.2">
      <c r="A77" s="10"/>
      <c r="B77" s="10"/>
    </row>
    <row r="78" spans="1:14" ht="30.75" customHeight="1" x14ac:dyDescent="0.25">
      <c r="A78" s="9" t="s">
        <v>8</v>
      </c>
      <c r="B78" s="3"/>
      <c r="E78" s="349" t="s">
        <v>48</v>
      </c>
      <c r="F78" s="352"/>
      <c r="G78" s="352"/>
      <c r="H78" s="352"/>
      <c r="I78" s="352"/>
      <c r="J78" s="352"/>
      <c r="K78" s="352"/>
      <c r="L78" s="352"/>
      <c r="M78" s="352"/>
      <c r="N78" s="352"/>
    </row>
    <row r="79" spans="1:14" ht="5.0999999999999996" customHeight="1" x14ac:dyDescent="0.2">
      <c r="A79" s="5"/>
      <c r="B79" s="5"/>
    </row>
    <row r="80" spans="1:14" ht="15.75" customHeight="1" x14ac:dyDescent="0.25">
      <c r="A80" s="3" t="s">
        <v>47</v>
      </c>
      <c r="B80" s="3"/>
      <c r="E80" s="2" t="s">
        <v>46</v>
      </c>
    </row>
    <row r="81" spans="1:14" ht="5.0999999999999996" customHeight="1" x14ac:dyDescent="0.2">
      <c r="A81" s="5"/>
      <c r="B81" s="5"/>
    </row>
    <row r="82" spans="1:14" ht="15.75" customHeight="1" x14ac:dyDescent="0.25">
      <c r="A82" s="8" t="s">
        <v>45</v>
      </c>
      <c r="B82" s="3"/>
      <c r="E82" s="7" t="s">
        <v>44</v>
      </c>
    </row>
    <row r="83" spans="1:14" ht="5.0999999999999996" customHeight="1" x14ac:dyDescent="0.2">
      <c r="A83" s="5"/>
      <c r="B83" s="5"/>
    </row>
    <row r="84" spans="1:14" ht="15.75" customHeight="1" x14ac:dyDescent="0.25">
      <c r="A84" s="3" t="s">
        <v>43</v>
      </c>
      <c r="B84" s="3"/>
      <c r="E84" s="2" t="s">
        <v>42</v>
      </c>
    </row>
    <row r="85" spans="1:14" ht="5.0999999999999996" customHeight="1" x14ac:dyDescent="0.2">
      <c r="A85" s="5"/>
      <c r="B85" s="5"/>
    </row>
    <row r="86" spans="1:14" ht="15.75" customHeight="1" x14ac:dyDescent="0.25">
      <c r="A86" s="3" t="s">
        <v>41</v>
      </c>
      <c r="B86" s="3"/>
      <c r="E86" s="2" t="s">
        <v>40</v>
      </c>
    </row>
    <row r="87" spans="1:14" ht="5.0999999999999996" customHeight="1" x14ac:dyDescent="0.25">
      <c r="A87" s="3"/>
      <c r="B87" s="3"/>
      <c r="E87" s="2"/>
    </row>
    <row r="88" spans="1:14" ht="15.75" customHeight="1" x14ac:dyDescent="0.25">
      <c r="A88" s="8" t="s">
        <v>39</v>
      </c>
      <c r="B88" s="3"/>
      <c r="E88" s="7" t="s">
        <v>38</v>
      </c>
    </row>
    <row r="89" spans="1:14" ht="5.0999999999999996" customHeight="1" x14ac:dyDescent="0.2">
      <c r="A89" s="5"/>
      <c r="B89" s="5"/>
    </row>
    <row r="90" spans="1:14" ht="37.5" customHeight="1" x14ac:dyDescent="0.25">
      <c r="A90" s="6" t="s">
        <v>37</v>
      </c>
      <c r="B90" s="3"/>
      <c r="E90" s="344" t="s">
        <v>36</v>
      </c>
      <c r="F90" s="345"/>
      <c r="G90" s="345"/>
      <c r="H90" s="345"/>
      <c r="I90" s="345"/>
      <c r="J90" s="345"/>
      <c r="K90" s="345"/>
      <c r="L90" s="345"/>
      <c r="M90" s="345"/>
      <c r="N90" s="345"/>
    </row>
    <row r="91" spans="1:14" ht="5.0999999999999996" customHeight="1" x14ac:dyDescent="0.2">
      <c r="A91" s="5"/>
      <c r="B91" s="5"/>
    </row>
    <row r="92" spans="1:14" ht="15.75" customHeight="1" x14ac:dyDescent="0.25">
      <c r="A92" s="3" t="s">
        <v>35</v>
      </c>
      <c r="B92" s="3"/>
      <c r="E92" s="2" t="s">
        <v>34</v>
      </c>
    </row>
    <row r="93" spans="1:14" ht="5.0999999999999996" customHeight="1" x14ac:dyDescent="0.2">
      <c r="A93" s="5"/>
      <c r="B93" s="5"/>
    </row>
    <row r="94" spans="1:14" ht="15.75" customHeight="1" x14ac:dyDescent="0.25">
      <c r="A94" s="3" t="s">
        <v>33</v>
      </c>
      <c r="B94" s="3"/>
      <c r="E94" s="2" t="s">
        <v>32</v>
      </c>
    </row>
    <row r="95" spans="1:14" ht="5.0999999999999996" customHeight="1" x14ac:dyDescent="0.2">
      <c r="A95" s="5"/>
      <c r="B95" s="5"/>
    </row>
    <row r="96" spans="1:14" ht="15.75" customHeight="1" x14ac:dyDescent="0.25">
      <c r="A96" s="3" t="s">
        <v>31</v>
      </c>
      <c r="B96" s="3"/>
      <c r="E96" s="2" t="s">
        <v>30</v>
      </c>
    </row>
    <row r="97" spans="1:5" ht="5.0999999999999996" customHeight="1" x14ac:dyDescent="0.2">
      <c r="A97" s="5"/>
      <c r="B97" s="5"/>
    </row>
    <row r="98" spans="1:5" ht="15.75" customHeight="1" x14ac:dyDescent="0.25">
      <c r="A98" s="3" t="s">
        <v>29</v>
      </c>
      <c r="B98" s="3"/>
      <c r="E98" s="2" t="s">
        <v>28</v>
      </c>
    </row>
    <row r="99" spans="1:5" ht="5.0999999999999996" customHeight="1" x14ac:dyDescent="0.2">
      <c r="A99" s="5"/>
      <c r="B99" s="5"/>
    </row>
    <row r="100" spans="1:5" ht="15.75" customHeight="1" x14ac:dyDescent="0.25">
      <c r="A100" s="4" t="s">
        <v>14</v>
      </c>
      <c r="B100" s="3"/>
      <c r="E100" s="2" t="s">
        <v>27</v>
      </c>
    </row>
  </sheetData>
  <mergeCells count="55">
    <mergeCell ref="E90:N90"/>
    <mergeCell ref="A60:N60"/>
    <mergeCell ref="A62:C62"/>
    <mergeCell ref="E62:N62"/>
    <mergeCell ref="E64:I64"/>
    <mergeCell ref="A66:B66"/>
    <mergeCell ref="E66:I66"/>
    <mergeCell ref="E70:N70"/>
    <mergeCell ref="E72:N72"/>
    <mergeCell ref="E74:N74"/>
    <mergeCell ref="E76:N76"/>
    <mergeCell ref="E78:N78"/>
    <mergeCell ref="A53:D53"/>
    <mergeCell ref="F53:H53"/>
    <mergeCell ref="J53:M53"/>
    <mergeCell ref="B54:C54"/>
    <mergeCell ref="F54:I54"/>
    <mergeCell ref="J54:M54"/>
    <mergeCell ref="A52:D52"/>
    <mergeCell ref="E52:I52"/>
    <mergeCell ref="B45:C45"/>
    <mergeCell ref="D45:F45"/>
    <mergeCell ref="G45:H45"/>
    <mergeCell ref="B46:C46"/>
    <mergeCell ref="D46:F46"/>
    <mergeCell ref="G46:H46"/>
    <mergeCell ref="B47:C47"/>
    <mergeCell ref="D47:F47"/>
    <mergeCell ref="G47:H47"/>
    <mergeCell ref="A49:D49"/>
    <mergeCell ref="E49:I49"/>
    <mergeCell ref="B44:C44"/>
    <mergeCell ref="D44:F44"/>
    <mergeCell ref="G44:H44"/>
    <mergeCell ref="F12:F13"/>
    <mergeCell ref="G12:G13"/>
    <mergeCell ref="H12:H13"/>
    <mergeCell ref="A39:L41"/>
    <mergeCell ref="C42:I42"/>
    <mergeCell ref="B43:C43"/>
    <mergeCell ref="D43:F43"/>
    <mergeCell ref="G43:H43"/>
    <mergeCell ref="I12:I13"/>
    <mergeCell ref="J12:J13"/>
    <mergeCell ref="K12:K13"/>
    <mergeCell ref="A12:A13"/>
    <mergeCell ref="B12:B13"/>
    <mergeCell ref="C12:C13"/>
    <mergeCell ref="D12:D13"/>
    <mergeCell ref="E12:E13"/>
    <mergeCell ref="A4:N4"/>
    <mergeCell ref="A6:N6"/>
    <mergeCell ref="D7:I7"/>
    <mergeCell ref="C11:G11"/>
    <mergeCell ref="H11:K11"/>
  </mergeCells>
  <pageMargins left="0.62992125984251968" right="0.62992125984251968" top="0.39370078740157483" bottom="0.23622047244094491" header="0" footer="0"/>
  <pageSetup scale="70" orientation="landscape" r:id="rId1"/>
  <headerFooter alignWithMargins="0">
    <oddFooter>&amp;R</oddFooter>
  </headerFooter>
  <rowBreaks count="1" manualBreakCount="1">
    <brk id="56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4:S100"/>
  <sheetViews>
    <sheetView showGridLines="0" topLeftCell="B1" zoomScale="130" zoomScaleNormal="130" zoomScaleSheetLayoutView="100" workbookViewId="0">
      <selection activeCell="L19" sqref="L19"/>
    </sheetView>
  </sheetViews>
  <sheetFormatPr baseColWidth="10" defaultRowHeight="12.75" x14ac:dyDescent="0.2"/>
  <cols>
    <col min="1" max="1" width="24.2851562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258"/>
      <c r="B7" s="258"/>
      <c r="C7" s="258"/>
      <c r="D7" s="321" t="s">
        <v>121</v>
      </c>
      <c r="E7" s="321"/>
      <c r="F7" s="321"/>
      <c r="G7" s="321"/>
      <c r="H7" s="321"/>
      <c r="I7" s="321"/>
      <c r="J7" s="258"/>
      <c r="K7" s="258"/>
      <c r="L7" s="258"/>
      <c r="M7" s="258"/>
      <c r="N7" s="258"/>
    </row>
    <row r="8" spans="1:14" ht="15.75" customHeight="1" x14ac:dyDescent="0.25">
      <c r="A8" s="85"/>
      <c r="B8" s="84"/>
      <c r="C8" s="84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</row>
    <row r="9" spans="1:14" ht="15.75" hidden="1" customHeight="1" x14ac:dyDescent="0.25">
      <c r="A9" s="85" t="s">
        <v>1</v>
      </c>
      <c r="B9" s="84"/>
      <c r="C9" s="84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</row>
    <row r="10" spans="1:14" ht="15.75" customHeight="1" x14ac:dyDescent="0.2">
      <c r="B10" s="5"/>
      <c r="C10" s="83"/>
      <c r="D10" s="5"/>
      <c r="E10" s="15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261"/>
      <c r="M12" s="261"/>
      <c r="N12" s="260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261"/>
      <c r="M13" s="261"/>
      <c r="N13" s="79" t="s">
        <v>15</v>
      </c>
    </row>
    <row r="14" spans="1:14" ht="15.75" customHeight="1" x14ac:dyDescent="0.25">
      <c r="A14" s="77" t="s">
        <v>81</v>
      </c>
      <c r="B14" s="78"/>
      <c r="C14" s="73">
        <v>4676742.55</v>
      </c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73"/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73">
        <v>4166603.92</v>
      </c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73">
        <v>1839666.85</v>
      </c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73"/>
      <c r="D18" s="58"/>
      <c r="F18" s="60"/>
      <c r="G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>
        <v>13131151.18</v>
      </c>
      <c r="C19" s="73">
        <f>SUM(C14:C18)</f>
        <v>10683013.319999998</v>
      </c>
      <c r="D19" s="58"/>
      <c r="E19" s="58">
        <v>9290352.2699999996</v>
      </c>
      <c r="F19" s="271">
        <f t="shared" ref="F19:F30" si="0">E19/C19</f>
        <v>0.86963780646114563</v>
      </c>
      <c r="G19" s="56">
        <f>+C19+D19-E19</f>
        <v>1392661.0499999989</v>
      </c>
      <c r="H19" s="56">
        <f>375595.75+1036206.27</f>
        <v>1411802.02</v>
      </c>
      <c r="I19" s="56">
        <v>1</v>
      </c>
      <c r="J19" s="56">
        <f>0.4+9937+875.88+934.5+1719.81+3439.62+343.96</f>
        <v>17251.169999999998</v>
      </c>
      <c r="K19" s="56">
        <f>+H19+I19-J19</f>
        <v>1394551.85</v>
      </c>
      <c r="L19" s="73">
        <f>+G19-K19</f>
        <v>-1890.8000000012107</v>
      </c>
      <c r="M19" s="73">
        <f t="shared" ref="M19:M34" si="1">G19-K19</f>
        <v>-1890.8000000012107</v>
      </c>
      <c r="N19" s="72">
        <f t="shared" ref="N19:N29" si="2">E19/B19</f>
        <v>0.70750478329349342</v>
      </c>
      <c r="O19" s="68"/>
    </row>
    <row r="20" spans="1:19" ht="15.75" customHeight="1" x14ac:dyDescent="0.25">
      <c r="A20" s="62" t="s">
        <v>75</v>
      </c>
      <c r="B20" s="61">
        <v>16873510</v>
      </c>
      <c r="C20" s="61">
        <v>10281420.48</v>
      </c>
      <c r="D20" s="58"/>
      <c r="E20" s="58">
        <v>8243780.5</v>
      </c>
      <c r="F20" s="60">
        <f t="shared" si="0"/>
        <v>0.80181337939015984</v>
      </c>
      <c r="G20" s="56">
        <f t="shared" ref="G20:G33" si="3">+C20+D20-E20</f>
        <v>2037639.9800000004</v>
      </c>
      <c r="H20" s="56">
        <v>1912733.61</v>
      </c>
      <c r="I20" s="56">
        <v>0</v>
      </c>
      <c r="J20" s="56">
        <f>81923-2810</f>
        <v>79113</v>
      </c>
      <c r="K20" s="56">
        <f t="shared" ref="K20:K34" si="4">+H20+I20-J20</f>
        <v>1833620.61</v>
      </c>
      <c r="L20" s="73">
        <f t="shared" ref="L20:L34" si="5">+G20-K20</f>
        <v>204019.37000000034</v>
      </c>
      <c r="M20" s="73">
        <f t="shared" si="1"/>
        <v>204019.37000000034</v>
      </c>
      <c r="N20" s="60">
        <f t="shared" si="2"/>
        <v>0.48856346427032671</v>
      </c>
      <c r="O20" s="70"/>
      <c r="P20" s="71"/>
      <c r="Q20" s="48"/>
    </row>
    <row r="21" spans="1:19" ht="15.75" customHeight="1" x14ac:dyDescent="0.25">
      <c r="A21" s="62" t="s">
        <v>74</v>
      </c>
      <c r="B21" s="61">
        <v>7436006</v>
      </c>
      <c r="C21" s="61">
        <v>5614635.7599999998</v>
      </c>
      <c r="D21" s="58"/>
      <c r="E21" s="58">
        <v>5526697.6600000001</v>
      </c>
      <c r="F21" s="60">
        <f t="shared" si="0"/>
        <v>0.98433770172118884</v>
      </c>
      <c r="G21" s="56">
        <f t="shared" si="3"/>
        <v>87938.099999999627</v>
      </c>
      <c r="H21" s="56">
        <v>217332.1</v>
      </c>
      <c r="I21" s="56">
        <v>0</v>
      </c>
      <c r="J21" s="56">
        <f>47292-1913</f>
        <v>45379</v>
      </c>
      <c r="K21" s="56">
        <f t="shared" si="4"/>
        <v>171953.1</v>
      </c>
      <c r="L21" s="73">
        <f t="shared" si="5"/>
        <v>-84015.000000000378</v>
      </c>
      <c r="M21" s="73">
        <f t="shared" si="1"/>
        <v>-84015.000000000378</v>
      </c>
      <c r="N21" s="60">
        <f t="shared" si="2"/>
        <v>0.74323469615274651</v>
      </c>
      <c r="O21" s="70"/>
      <c r="P21" s="69"/>
      <c r="Q21" s="45"/>
    </row>
    <row r="22" spans="1:19" ht="15.75" customHeight="1" x14ac:dyDescent="0.25">
      <c r="A22" s="62" t="s">
        <v>73</v>
      </c>
      <c r="B22" s="61">
        <v>281545</v>
      </c>
      <c r="C22" s="63">
        <v>198611.55</v>
      </c>
      <c r="D22" s="104"/>
      <c r="E22" s="58">
        <v>127961.76</v>
      </c>
      <c r="F22" s="60">
        <f>E22/C22</f>
        <v>0.64428156368549561</v>
      </c>
      <c r="G22" s="56">
        <f>+C22+D22-E22</f>
        <v>70649.789999999994</v>
      </c>
      <c r="H22" s="56">
        <v>70649.789999999994</v>
      </c>
      <c r="I22" s="56">
        <v>0</v>
      </c>
      <c r="J22" s="56">
        <v>0</v>
      </c>
      <c r="K22" s="56">
        <f t="shared" si="4"/>
        <v>70649.789999999994</v>
      </c>
      <c r="L22" s="73">
        <f t="shared" si="5"/>
        <v>0</v>
      </c>
      <c r="M22" s="73">
        <f t="shared" si="1"/>
        <v>0</v>
      </c>
      <c r="N22" s="60">
        <f t="shared" si="2"/>
        <v>0.45449842831518938</v>
      </c>
      <c r="O22" s="68"/>
    </row>
    <row r="23" spans="1:19" ht="15.75" customHeight="1" x14ac:dyDescent="0.25">
      <c r="A23" s="62" t="s">
        <v>86</v>
      </c>
      <c r="B23" s="61">
        <v>824025</v>
      </c>
      <c r="C23" s="61">
        <v>620020.56999999995</v>
      </c>
      <c r="D23" s="58"/>
      <c r="E23" s="58">
        <v>542993.26</v>
      </c>
      <c r="F23" s="60">
        <f t="shared" ref="F23:F25" si="6">E23/C23</f>
        <v>0.87576652497190544</v>
      </c>
      <c r="G23" s="56">
        <f>+C23+D23-E23</f>
        <v>77027.309999999939</v>
      </c>
      <c r="H23" s="56">
        <v>77027.31</v>
      </c>
      <c r="I23" s="56">
        <v>0</v>
      </c>
      <c r="J23" s="56">
        <v>0</v>
      </c>
      <c r="K23" s="56">
        <f t="shared" si="4"/>
        <v>77027.31</v>
      </c>
      <c r="L23" s="73">
        <f t="shared" si="5"/>
        <v>0</v>
      </c>
      <c r="M23" s="73">
        <f t="shared" si="1"/>
        <v>0</v>
      </c>
      <c r="N23" s="60">
        <f t="shared" si="2"/>
        <v>0.65895241042444097</v>
      </c>
    </row>
    <row r="24" spans="1:19" ht="15.75" customHeight="1" x14ac:dyDescent="0.25">
      <c r="A24" s="62" t="s">
        <v>72</v>
      </c>
      <c r="B24" s="61">
        <v>600184</v>
      </c>
      <c r="C24" s="61">
        <v>322099.48</v>
      </c>
      <c r="D24" s="58"/>
      <c r="E24" s="58">
        <v>305040.69</v>
      </c>
      <c r="F24" s="60">
        <f t="shared" si="6"/>
        <v>0.94703875336899024</v>
      </c>
      <c r="G24" s="56">
        <f t="shared" si="3"/>
        <v>17058.789999999979</v>
      </c>
      <c r="H24" s="56">
        <v>17058.79</v>
      </c>
      <c r="I24" s="56">
        <v>0</v>
      </c>
      <c r="J24" s="56">
        <v>0</v>
      </c>
      <c r="K24" s="56">
        <f t="shared" si="4"/>
        <v>17058.79</v>
      </c>
      <c r="L24" s="73">
        <f t="shared" si="5"/>
        <v>0</v>
      </c>
      <c r="M24" s="73">
        <f t="shared" si="1"/>
        <v>0</v>
      </c>
      <c r="N24" s="60">
        <f t="shared" si="2"/>
        <v>0.50824528811164582</v>
      </c>
    </row>
    <row r="25" spans="1:19" ht="15.75" customHeight="1" x14ac:dyDescent="0.25">
      <c r="A25" s="62" t="s">
        <v>93</v>
      </c>
      <c r="B25" s="61">
        <v>11851740</v>
      </c>
      <c r="C25" s="63">
        <v>8889075.3699999992</v>
      </c>
      <c r="D25" s="104"/>
      <c r="E25" s="104">
        <v>8367080.0999999996</v>
      </c>
      <c r="F25" s="60">
        <f t="shared" si="6"/>
        <v>0.9412767640871067</v>
      </c>
      <c r="G25" s="56">
        <f>+C25+D25-E25</f>
        <v>521995.26999999955</v>
      </c>
      <c r="H25" s="67">
        <v>686444.27</v>
      </c>
      <c r="I25" s="67">
        <v>0</v>
      </c>
      <c r="J25" s="67">
        <f>47076+0.22-0.79-740</f>
        <v>46335.43</v>
      </c>
      <c r="K25" s="56">
        <f t="shared" si="4"/>
        <v>640108.84</v>
      </c>
      <c r="L25" s="73">
        <f t="shared" si="5"/>
        <v>-118113.57000000041</v>
      </c>
      <c r="M25" s="73">
        <f t="shared" si="1"/>
        <v>-118113.57000000041</v>
      </c>
      <c r="N25" s="66">
        <f t="shared" si="2"/>
        <v>0.70597904611474771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91</v>
      </c>
      <c r="B26" s="61">
        <v>3479677</v>
      </c>
      <c r="C26" s="61">
        <v>3132513.63</v>
      </c>
      <c r="D26" s="104"/>
      <c r="E26" s="58">
        <v>147861.47</v>
      </c>
      <c r="F26" s="66">
        <f>E26/H26</f>
        <v>4.9540603753303027E-2</v>
      </c>
      <c r="G26" s="56">
        <f>+C26+D26-E26</f>
        <v>2984652.1599999997</v>
      </c>
      <c r="H26" s="58">
        <v>2984652.16</v>
      </c>
      <c r="I26" s="56">
        <v>0</v>
      </c>
      <c r="J26" s="56"/>
      <c r="K26" s="56">
        <f t="shared" si="4"/>
        <v>2984652.16</v>
      </c>
      <c r="L26" s="73">
        <f t="shared" si="5"/>
        <v>0</v>
      </c>
      <c r="M26" s="73">
        <f t="shared" si="1"/>
        <v>0</v>
      </c>
      <c r="N26" s="60">
        <f t="shared" si="2"/>
        <v>4.2492872183251491E-2</v>
      </c>
      <c r="O26" s="64"/>
    </row>
    <row r="27" spans="1:19" ht="15.75" customHeight="1" x14ac:dyDescent="0.25">
      <c r="A27" s="62" t="s">
        <v>90</v>
      </c>
      <c r="B27" s="61"/>
      <c r="C27" s="58">
        <v>0</v>
      </c>
      <c r="D27" s="104"/>
      <c r="E27" s="58">
        <v>0</v>
      </c>
      <c r="F27" s="66">
        <v>0</v>
      </c>
      <c r="G27" s="67">
        <f>+C27+D27-E27</f>
        <v>0</v>
      </c>
      <c r="H27" s="56">
        <v>0</v>
      </c>
      <c r="I27" s="56">
        <v>0</v>
      </c>
      <c r="J27" s="56">
        <v>0</v>
      </c>
      <c r="K27" s="56">
        <f t="shared" si="4"/>
        <v>0</v>
      </c>
      <c r="L27" s="73">
        <f t="shared" si="5"/>
        <v>0</v>
      </c>
      <c r="M27" s="73">
        <f t="shared" si="1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63">
        <v>99465</v>
      </c>
      <c r="C28" s="61">
        <v>133543.94</v>
      </c>
      <c r="D28" s="58"/>
      <c r="E28" s="58">
        <v>87506.27</v>
      </c>
      <c r="F28" s="60">
        <f t="shared" si="0"/>
        <v>0.65526200589858297</v>
      </c>
      <c r="G28" s="67">
        <f>+C28+D28-E28</f>
        <v>46037.67</v>
      </c>
      <c r="H28" s="56">
        <v>46037.67</v>
      </c>
      <c r="I28" s="56">
        <v>0</v>
      </c>
      <c r="J28" s="56">
        <v>0</v>
      </c>
      <c r="K28" s="56">
        <f t="shared" si="4"/>
        <v>46037.67</v>
      </c>
      <c r="L28" s="73">
        <f t="shared" si="5"/>
        <v>0</v>
      </c>
      <c r="M28" s="73">
        <f t="shared" si="1"/>
        <v>0</v>
      </c>
      <c r="N28" s="60">
        <f t="shared" si="2"/>
        <v>0.87976946664655908</v>
      </c>
    </row>
    <row r="29" spans="1:19" ht="15.75" customHeight="1" x14ac:dyDescent="0.25">
      <c r="A29" s="62" t="s">
        <v>69</v>
      </c>
      <c r="B29" s="61">
        <v>29793</v>
      </c>
      <c r="C29" s="61">
        <v>22350.639999999999</v>
      </c>
      <c r="D29" s="58"/>
      <c r="E29" s="58">
        <v>0</v>
      </c>
      <c r="F29" s="60">
        <f t="shared" si="0"/>
        <v>0</v>
      </c>
      <c r="G29" s="56">
        <f t="shared" si="3"/>
        <v>22350.639999999999</v>
      </c>
      <c r="H29" s="56">
        <v>22350.639999999999</v>
      </c>
      <c r="I29" s="56">
        <v>0</v>
      </c>
      <c r="J29" s="56">
        <v>0</v>
      </c>
      <c r="K29" s="56">
        <f t="shared" si="4"/>
        <v>22350.639999999999</v>
      </c>
      <c r="L29" s="73">
        <f t="shared" si="5"/>
        <v>0</v>
      </c>
      <c r="M29" s="73">
        <f t="shared" si="1"/>
        <v>0</v>
      </c>
      <c r="N29" s="60">
        <f t="shared" si="2"/>
        <v>0</v>
      </c>
    </row>
    <row r="30" spans="1:19" ht="15.75" customHeight="1" x14ac:dyDescent="0.25">
      <c r="A30" s="62" t="s">
        <v>26</v>
      </c>
      <c r="B30" s="61">
        <v>68757.710000000006</v>
      </c>
      <c r="C30" s="112">
        <v>68783.89</v>
      </c>
      <c r="D30" s="58"/>
      <c r="E30" s="58">
        <v>0</v>
      </c>
      <c r="F30" s="60">
        <f t="shared" si="0"/>
        <v>0</v>
      </c>
      <c r="G30" s="56">
        <f>+C30+D30-E30</f>
        <v>68783.89</v>
      </c>
      <c r="H30" s="56">
        <v>68783.89</v>
      </c>
      <c r="I30" s="56">
        <v>0</v>
      </c>
      <c r="J30" s="56">
        <v>0</v>
      </c>
      <c r="K30" s="56">
        <f t="shared" si="4"/>
        <v>68783.89</v>
      </c>
      <c r="L30" s="73">
        <f t="shared" si="5"/>
        <v>0</v>
      </c>
      <c r="M30" s="73">
        <f t="shared" si="1"/>
        <v>0</v>
      </c>
      <c r="N30" s="60">
        <v>0</v>
      </c>
    </row>
    <row r="31" spans="1:19" ht="15.75" customHeight="1" x14ac:dyDescent="0.25">
      <c r="A31" s="62" t="s">
        <v>85</v>
      </c>
      <c r="B31" s="61"/>
      <c r="C31" s="61">
        <v>0</v>
      </c>
      <c r="D31" s="58"/>
      <c r="E31" s="58">
        <v>0</v>
      </c>
      <c r="F31" s="60">
        <v>0</v>
      </c>
      <c r="G31" s="56">
        <f t="shared" si="3"/>
        <v>0</v>
      </c>
      <c r="H31" s="56">
        <v>0</v>
      </c>
      <c r="I31" s="56">
        <v>0</v>
      </c>
      <c r="J31" s="56">
        <v>0</v>
      </c>
      <c r="K31" s="56">
        <f t="shared" si="4"/>
        <v>0</v>
      </c>
      <c r="L31" s="73">
        <f t="shared" si="5"/>
        <v>0</v>
      </c>
      <c r="M31" s="73">
        <f t="shared" si="1"/>
        <v>0</v>
      </c>
      <c r="N31" s="60">
        <v>0</v>
      </c>
    </row>
    <row r="32" spans="1:19" ht="15.75" customHeight="1" x14ac:dyDescent="0.25">
      <c r="A32" s="62" t="s">
        <v>84</v>
      </c>
      <c r="B32" s="61">
        <v>2885500</v>
      </c>
      <c r="C32" s="61">
        <v>2403269.38</v>
      </c>
      <c r="D32" s="58"/>
      <c r="E32" s="58">
        <v>2149385.62</v>
      </c>
      <c r="F32" s="60"/>
      <c r="G32" s="56">
        <f t="shared" si="3"/>
        <v>253883.75999999978</v>
      </c>
      <c r="H32" s="56">
        <f>253884.76</f>
        <v>253884.76</v>
      </c>
      <c r="I32" s="56"/>
      <c r="J32" s="56">
        <v>1</v>
      </c>
      <c r="K32" s="56">
        <f t="shared" si="4"/>
        <v>253883.76</v>
      </c>
      <c r="L32" s="73">
        <f t="shared" si="5"/>
        <v>-2.3283064365386963E-10</v>
      </c>
      <c r="M32" s="73">
        <f t="shared" si="1"/>
        <v>-2.3283064365386963E-10</v>
      </c>
      <c r="N32" s="60">
        <v>0</v>
      </c>
    </row>
    <row r="33" spans="1:18" ht="15.75" customHeight="1" x14ac:dyDescent="0.25">
      <c r="A33" s="62" t="s">
        <v>114</v>
      </c>
      <c r="B33" s="61">
        <v>200000</v>
      </c>
      <c r="C33" s="61">
        <v>200018.75</v>
      </c>
      <c r="D33" s="58"/>
      <c r="E33" s="58">
        <v>114500</v>
      </c>
      <c r="F33" s="60"/>
      <c r="G33" s="56">
        <f t="shared" si="3"/>
        <v>85518.75</v>
      </c>
      <c r="H33" s="56">
        <v>85518.75</v>
      </c>
      <c r="I33" s="56"/>
      <c r="J33" s="56"/>
      <c r="K33" s="56">
        <f t="shared" si="4"/>
        <v>85518.75</v>
      </c>
      <c r="L33" s="73">
        <f t="shared" si="5"/>
        <v>0</v>
      </c>
      <c r="M33" s="73">
        <f t="shared" si="1"/>
        <v>0</v>
      </c>
      <c r="N33" s="60">
        <v>0</v>
      </c>
    </row>
    <row r="34" spans="1:18" ht="15.75" customHeight="1" x14ac:dyDescent="0.25">
      <c r="A34" s="107" t="s">
        <v>92</v>
      </c>
      <c r="B34" s="268"/>
      <c r="C34" s="268"/>
      <c r="D34" s="268"/>
      <c r="E34" s="268">
        <v>0</v>
      </c>
      <c r="F34" s="269">
        <v>0</v>
      </c>
      <c r="G34" s="270">
        <f t="shared" ref="G34" si="7">C34-E34</f>
        <v>0</v>
      </c>
      <c r="H34" s="270">
        <v>173.01</v>
      </c>
      <c r="I34" s="270">
        <v>103243.35</v>
      </c>
      <c r="J34" s="270">
        <f>103243.35+173.01</f>
        <v>103416.36</v>
      </c>
      <c r="K34" s="56">
        <f t="shared" si="4"/>
        <v>0</v>
      </c>
      <c r="L34" s="73">
        <f t="shared" si="5"/>
        <v>0</v>
      </c>
      <c r="M34" s="73">
        <f t="shared" si="1"/>
        <v>0</v>
      </c>
      <c r="N34" s="60">
        <v>0</v>
      </c>
    </row>
    <row r="35" spans="1:18" ht="15.75" customHeight="1" x14ac:dyDescent="0.25">
      <c r="A35" s="59" t="s">
        <v>68</v>
      </c>
      <c r="B35" s="58">
        <f>SUM(B19:B33)</f>
        <v>57761353.890000001</v>
      </c>
      <c r="C35" s="58">
        <f>SUM(C19:C34)</f>
        <v>42569356.759999998</v>
      </c>
      <c r="D35" s="58">
        <f>SUM(D19:D34)</f>
        <v>0</v>
      </c>
      <c r="E35" s="58">
        <f>SUM(E19:E34)</f>
        <v>34903159.600000001</v>
      </c>
      <c r="F35" s="57"/>
      <c r="G35" s="56">
        <f t="shared" ref="G35:I35" si="8">SUM(G19:G34)</f>
        <v>7666197.1599999983</v>
      </c>
      <c r="H35" s="56">
        <f t="shared" si="8"/>
        <v>7854448.7699999996</v>
      </c>
      <c r="I35" s="56">
        <f t="shared" si="8"/>
        <v>103244.35</v>
      </c>
      <c r="J35" s="56">
        <f>SUM(J19:J34)</f>
        <v>291495.95999999996</v>
      </c>
      <c r="K35" s="56">
        <f>SUM(K19:K34)</f>
        <v>7666197.1599999992</v>
      </c>
      <c r="L35" s="56">
        <f>SUM(L19:L34)</f>
        <v>-1.8917489796876907E-9</v>
      </c>
      <c r="M35" s="56">
        <f>SUM(M19:M34)</f>
        <v>-1.8917489796876907E-9</v>
      </c>
      <c r="N35" s="60">
        <v>0</v>
      </c>
    </row>
    <row r="36" spans="1:18" ht="15.75" customHeight="1" x14ac:dyDescent="0.25">
      <c r="A36" s="153"/>
      <c r="B36" s="154"/>
      <c r="C36" s="154"/>
      <c r="D36" s="154"/>
      <c r="E36" s="154"/>
      <c r="F36" s="155"/>
      <c r="G36" s="55"/>
      <c r="H36" s="55"/>
      <c r="I36" s="55"/>
      <c r="J36" s="55"/>
      <c r="K36" s="55"/>
      <c r="L36" s="55"/>
      <c r="M36" s="55"/>
      <c r="N36" s="55"/>
    </row>
    <row r="37" spans="1:18" ht="15.75" customHeight="1" x14ac:dyDescent="0.25">
      <c r="A37" s="153"/>
      <c r="B37" s="154"/>
      <c r="C37" s="154"/>
      <c r="D37" s="154"/>
      <c r="E37" s="154"/>
      <c r="F37" s="155"/>
      <c r="G37" s="55"/>
      <c r="H37" s="55"/>
      <c r="I37" s="55"/>
      <c r="J37" s="55"/>
      <c r="K37" s="55"/>
      <c r="L37" s="55"/>
      <c r="M37" s="55"/>
      <c r="N37" s="55"/>
    </row>
    <row r="38" spans="1:18" ht="15.75" customHeight="1" x14ac:dyDescent="0.25">
      <c r="A38" s="153"/>
      <c r="B38" s="154"/>
      <c r="C38" s="154"/>
      <c r="D38" s="154"/>
      <c r="E38" s="154"/>
      <c r="F38" s="155"/>
      <c r="G38" s="55"/>
      <c r="H38" s="55"/>
      <c r="I38" s="55"/>
      <c r="J38" s="55"/>
      <c r="K38" s="55"/>
      <c r="L38" s="55"/>
      <c r="M38" s="55"/>
      <c r="N38" s="55"/>
    </row>
    <row r="39" spans="1:18" ht="15.75" customHeight="1" x14ac:dyDescent="0.25">
      <c r="A39" s="353" t="s">
        <v>97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55"/>
      <c r="N39" s="54"/>
    </row>
    <row r="40" spans="1:18" ht="15.75" customHeight="1" x14ac:dyDescent="0.25">
      <c r="A40" s="353"/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55"/>
      <c r="N40" s="54"/>
    </row>
    <row r="41" spans="1:18" ht="24.75" customHeight="1" x14ac:dyDescent="0.25">
      <c r="A41" s="353"/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55"/>
      <c r="N41" s="54"/>
    </row>
    <row r="42" spans="1:18" ht="15.75" customHeight="1" x14ac:dyDescent="0.2">
      <c r="C42" s="374"/>
      <c r="D42" s="374"/>
      <c r="E42" s="374"/>
      <c r="F42" s="374"/>
      <c r="G42" s="374"/>
      <c r="H42" s="374"/>
      <c r="I42" s="374"/>
      <c r="J42" s="52"/>
      <c r="K42" s="53"/>
      <c r="L42" s="52"/>
      <c r="M42" s="53"/>
      <c r="N42" s="52"/>
      <c r="O42" s="52"/>
      <c r="P42" s="52"/>
      <c r="Q42" s="52"/>
      <c r="R42" s="52"/>
    </row>
    <row r="43" spans="1:18" ht="15.75" hidden="1" customHeight="1" x14ac:dyDescent="0.25">
      <c r="B43" s="354" t="s">
        <v>16</v>
      </c>
      <c r="C43" s="354"/>
      <c r="D43" s="355" t="s">
        <v>17</v>
      </c>
      <c r="E43" s="356"/>
      <c r="F43" s="357"/>
      <c r="G43" s="358" t="s">
        <v>18</v>
      </c>
      <c r="H43" s="358"/>
      <c r="I43" s="262" t="s">
        <v>8</v>
      </c>
      <c r="J43" s="48"/>
      <c r="K43" s="48"/>
      <c r="M43" s="48"/>
    </row>
    <row r="44" spans="1:18" ht="15.75" hidden="1" customHeight="1" x14ac:dyDescent="0.25">
      <c r="B44" s="359" t="s">
        <v>19</v>
      </c>
      <c r="C44" s="359"/>
      <c r="D44" s="355"/>
      <c r="E44" s="356"/>
      <c r="F44" s="357"/>
      <c r="G44" s="360"/>
      <c r="H44" s="360"/>
      <c r="I44" s="44"/>
      <c r="J44" s="48"/>
      <c r="K44" s="45"/>
      <c r="M44" s="47"/>
    </row>
    <row r="45" spans="1:18" ht="15.75" hidden="1" customHeight="1" x14ac:dyDescent="0.25">
      <c r="B45" s="358" t="s">
        <v>20</v>
      </c>
      <c r="C45" s="358"/>
      <c r="D45" s="361"/>
      <c r="E45" s="362"/>
      <c r="F45" s="363"/>
      <c r="G45" s="364"/>
      <c r="H45" s="364"/>
      <c r="I45" s="44" t="e">
        <f>G45/D45</f>
        <v>#DIV/0!</v>
      </c>
      <c r="J45" s="48"/>
      <c r="K45" s="47"/>
    </row>
    <row r="46" spans="1:18" ht="15.75" hidden="1" customHeight="1" x14ac:dyDescent="0.25">
      <c r="B46" s="358" t="s">
        <v>21</v>
      </c>
      <c r="C46" s="358"/>
      <c r="D46" s="361"/>
      <c r="E46" s="362"/>
      <c r="F46" s="363"/>
      <c r="G46" s="364"/>
      <c r="H46" s="364"/>
      <c r="I46" s="44" t="e">
        <f>G46/D46</f>
        <v>#DIV/0!</v>
      </c>
      <c r="J46" s="46"/>
      <c r="K46" s="45"/>
    </row>
    <row r="47" spans="1:18" ht="15.75" hidden="1" customHeight="1" x14ac:dyDescent="0.25">
      <c r="B47" s="358" t="s">
        <v>22</v>
      </c>
      <c r="C47" s="358"/>
      <c r="D47" s="361"/>
      <c r="E47" s="362"/>
      <c r="F47" s="363"/>
      <c r="G47" s="364"/>
      <c r="H47" s="364"/>
      <c r="I47" s="44" t="e">
        <f>G47/D47</f>
        <v>#DIV/0!</v>
      </c>
    </row>
    <row r="48" spans="1:18" ht="15.75" customHeight="1" x14ac:dyDescent="0.2">
      <c r="A48" s="267"/>
      <c r="B48" s="167"/>
      <c r="C48" s="168"/>
      <c r="D48" s="167"/>
      <c r="E48" s="167"/>
      <c r="F48" s="167"/>
      <c r="G48" s="164"/>
      <c r="H48" s="164"/>
      <c r="I48" s="165"/>
      <c r="J48" s="267"/>
      <c r="K48" s="267"/>
      <c r="L48" s="166"/>
    </row>
    <row r="49" spans="1:14" s="38" customFormat="1" ht="13.5" x14ac:dyDescent="0.25">
      <c r="A49" s="383" t="s">
        <v>23</v>
      </c>
      <c r="B49" s="383"/>
      <c r="C49" s="383"/>
      <c r="D49" s="383"/>
      <c r="E49" s="384" t="s">
        <v>24</v>
      </c>
      <c r="F49" s="384"/>
      <c r="G49" s="384"/>
      <c r="H49" s="384"/>
      <c r="I49" s="384"/>
      <c r="J49" s="169"/>
      <c r="K49" s="265" t="s">
        <v>25</v>
      </c>
      <c r="L49" s="265"/>
      <c r="M49" s="263"/>
      <c r="N49" s="263"/>
    </row>
    <row r="50" spans="1:14" s="29" customFormat="1" ht="13.5" x14ac:dyDescent="0.25">
      <c r="A50" s="264"/>
      <c r="B50" s="264"/>
      <c r="C50" s="172"/>
      <c r="D50" s="173"/>
      <c r="E50" s="174"/>
      <c r="F50" s="175"/>
      <c r="G50" s="175"/>
      <c r="H50" s="175"/>
      <c r="I50" s="176"/>
      <c r="J50" s="177"/>
      <c r="K50" s="178"/>
      <c r="L50" s="178"/>
      <c r="M50" s="33"/>
      <c r="N50" s="32"/>
    </row>
    <row r="51" spans="1:14" s="29" customFormat="1" ht="13.5" x14ac:dyDescent="0.25">
      <c r="A51" s="264"/>
      <c r="B51" s="264"/>
      <c r="C51" s="172"/>
      <c r="D51" s="173"/>
      <c r="E51" s="174"/>
      <c r="F51" s="175"/>
      <c r="G51" s="175"/>
      <c r="H51" s="175"/>
      <c r="I51" s="176"/>
      <c r="J51" s="177"/>
      <c r="K51" s="178"/>
      <c r="L51" s="178"/>
      <c r="M51" s="33"/>
      <c r="N51" s="32"/>
    </row>
    <row r="52" spans="1:14" s="29" customFormat="1" ht="26.25" customHeight="1" x14ac:dyDescent="0.25">
      <c r="A52" s="381" t="s">
        <v>98</v>
      </c>
      <c r="B52" s="381"/>
      <c r="C52" s="381"/>
      <c r="D52" s="381"/>
      <c r="E52" s="382" t="s">
        <v>100</v>
      </c>
      <c r="F52" s="382"/>
      <c r="G52" s="382"/>
      <c r="H52" s="382"/>
      <c r="I52" s="382"/>
      <c r="J52" s="180" t="s">
        <v>99</v>
      </c>
      <c r="K52" s="181"/>
      <c r="L52" s="181"/>
      <c r="M52" s="30"/>
      <c r="N52" s="30"/>
    </row>
    <row r="53" spans="1:14" s="23" customFormat="1" ht="15.75" customHeight="1" x14ac:dyDescent="0.3">
      <c r="A53" s="376" t="s">
        <v>66</v>
      </c>
      <c r="B53" s="376"/>
      <c r="C53" s="376"/>
      <c r="D53" s="376"/>
      <c r="E53" s="266"/>
      <c r="F53" s="377" t="s">
        <v>65</v>
      </c>
      <c r="G53" s="377"/>
      <c r="H53" s="377"/>
      <c r="I53" s="183"/>
      <c r="J53" s="377" t="s">
        <v>95</v>
      </c>
      <c r="K53" s="377"/>
      <c r="L53" s="377"/>
      <c r="M53" s="377"/>
    </row>
    <row r="54" spans="1:14" s="23" customFormat="1" ht="15.75" customHeight="1" x14ac:dyDescent="0.3">
      <c r="A54" s="184"/>
      <c r="B54" s="378" t="s">
        <v>107</v>
      </c>
      <c r="C54" s="378"/>
      <c r="D54" s="266"/>
      <c r="E54" s="267"/>
      <c r="F54" s="379" t="s">
        <v>111</v>
      </c>
      <c r="G54" s="379"/>
      <c r="H54" s="379"/>
      <c r="I54" s="379"/>
      <c r="J54" s="378" t="s">
        <v>110</v>
      </c>
      <c r="K54" s="378"/>
      <c r="L54" s="378"/>
      <c r="M54" s="378"/>
    </row>
    <row r="55" spans="1:14" ht="15.75" customHeight="1" x14ac:dyDescent="0.2">
      <c r="A55" s="5"/>
      <c r="B55" s="17"/>
      <c r="C55" s="17"/>
      <c r="D55" s="17"/>
      <c r="G55" s="17"/>
      <c r="H55" s="17"/>
      <c r="J55" s="17"/>
      <c r="K55" s="17"/>
      <c r="L55" s="17"/>
      <c r="M55" s="17"/>
    </row>
    <row r="56" spans="1:14" ht="15.75" customHeight="1" x14ac:dyDescent="0.2"/>
    <row r="57" spans="1:14" ht="15.75" customHeight="1" x14ac:dyDescent="0.2">
      <c r="A57" s="22" t="s">
        <v>64</v>
      </c>
    </row>
    <row r="58" spans="1:14" ht="15.75" customHeight="1" x14ac:dyDescent="0.2">
      <c r="A58" s="22"/>
    </row>
    <row r="59" spans="1:14" ht="15.75" customHeight="1" x14ac:dyDescent="0.2">
      <c r="A59" s="22"/>
    </row>
    <row r="60" spans="1:14" ht="15.75" customHeight="1" x14ac:dyDescent="0.25">
      <c r="A60" s="346" t="s">
        <v>0</v>
      </c>
      <c r="B60" s="346"/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</row>
    <row r="61" spans="1:14" ht="15.75" customHeight="1" x14ac:dyDescent="0.2">
      <c r="B61" s="21"/>
      <c r="C61" s="21"/>
      <c r="D61" s="21"/>
      <c r="E61" s="21"/>
      <c r="F61" s="21"/>
      <c r="G61" s="21"/>
      <c r="H61" s="21"/>
    </row>
    <row r="62" spans="1:14" s="19" customFormat="1" ht="15.75" customHeight="1" x14ac:dyDescent="0.25">
      <c r="A62" s="321" t="s">
        <v>63</v>
      </c>
      <c r="B62" s="321"/>
      <c r="C62" s="321"/>
      <c r="D62" s="258"/>
      <c r="E62" s="321" t="s">
        <v>62</v>
      </c>
      <c r="F62" s="321"/>
      <c r="G62" s="321"/>
      <c r="H62" s="321"/>
      <c r="I62" s="321"/>
      <c r="J62" s="321"/>
      <c r="K62" s="321"/>
      <c r="L62" s="321"/>
      <c r="M62" s="321"/>
      <c r="N62" s="321"/>
    </row>
    <row r="63" spans="1:14" ht="15.75" customHeight="1" x14ac:dyDescent="0.2">
      <c r="A63" s="17"/>
      <c r="B63" s="17"/>
      <c r="C63" s="18"/>
      <c r="D63" s="18"/>
      <c r="F63" s="17"/>
      <c r="G63" s="17"/>
      <c r="H63" s="17"/>
    </row>
    <row r="64" spans="1:14" ht="15.75" customHeight="1" x14ac:dyDescent="0.2">
      <c r="A64" s="16" t="s">
        <v>61</v>
      </c>
      <c r="B64" s="14"/>
      <c r="C64" s="14"/>
      <c r="D64" s="14"/>
      <c r="E64" s="347" t="s">
        <v>60</v>
      </c>
      <c r="F64" s="347"/>
      <c r="G64" s="347"/>
      <c r="H64" s="347"/>
      <c r="I64" s="347"/>
    </row>
    <row r="65" spans="1:14" ht="5.0999999999999996" customHeight="1" x14ac:dyDescent="0.2">
      <c r="A65" s="259"/>
      <c r="B65" s="259"/>
      <c r="C65" s="259"/>
      <c r="D65" s="259"/>
      <c r="E65" s="259"/>
      <c r="F65" s="10"/>
      <c r="G65" s="10"/>
    </row>
    <row r="66" spans="1:14" ht="15.75" customHeight="1" x14ac:dyDescent="0.25">
      <c r="A66" s="348" t="s">
        <v>59</v>
      </c>
      <c r="B66" s="348"/>
      <c r="C66" s="14"/>
      <c r="D66" s="14"/>
      <c r="E66" s="347" t="s">
        <v>58</v>
      </c>
      <c r="F66" s="347"/>
      <c r="G66" s="347"/>
      <c r="H66" s="347"/>
      <c r="I66" s="347"/>
      <c r="J66" s="13"/>
      <c r="K66" s="13"/>
      <c r="L66" s="13"/>
      <c r="M66" s="13"/>
      <c r="N66" s="13"/>
    </row>
    <row r="67" spans="1:14" ht="5.0999999999999996" customHeight="1" x14ac:dyDescent="0.2">
      <c r="A67" s="5"/>
      <c r="B67" s="5"/>
    </row>
    <row r="68" spans="1:14" ht="15.75" customHeight="1" x14ac:dyDescent="0.25">
      <c r="A68" s="3" t="s">
        <v>57</v>
      </c>
      <c r="B68" s="3"/>
      <c r="E68" s="2" t="s">
        <v>56</v>
      </c>
    </row>
    <row r="69" spans="1:14" ht="5.0999999999999996" customHeight="1" x14ac:dyDescent="0.2">
      <c r="A69" s="5"/>
      <c r="B69" s="5"/>
    </row>
    <row r="70" spans="1:14" ht="47.25" customHeight="1" x14ac:dyDescent="0.25">
      <c r="A70" s="11" t="s">
        <v>55</v>
      </c>
      <c r="B70" s="3"/>
      <c r="E70" s="349" t="s">
        <v>54</v>
      </c>
      <c r="F70" s="349"/>
      <c r="G70" s="349"/>
      <c r="H70" s="349"/>
      <c r="I70" s="349"/>
      <c r="J70" s="349"/>
      <c r="K70" s="349"/>
      <c r="L70" s="349"/>
      <c r="M70" s="349"/>
      <c r="N70" s="349"/>
    </row>
    <row r="71" spans="1:14" ht="5.0999999999999996" customHeight="1" x14ac:dyDescent="0.2">
      <c r="A71" s="5"/>
      <c r="B71" s="5"/>
      <c r="E71" s="12"/>
    </row>
    <row r="72" spans="1:14" ht="47.25" customHeight="1" x14ac:dyDescent="0.25">
      <c r="A72" s="11" t="s">
        <v>53</v>
      </c>
      <c r="B72" s="3"/>
      <c r="E72" s="350" t="s">
        <v>52</v>
      </c>
      <c r="F72" s="350"/>
      <c r="G72" s="350"/>
      <c r="H72" s="350"/>
      <c r="I72" s="350"/>
      <c r="J72" s="350"/>
      <c r="K72" s="350"/>
      <c r="L72" s="350"/>
      <c r="M72" s="350"/>
      <c r="N72" s="350"/>
    </row>
    <row r="73" spans="1:14" ht="5.0999999999999996" customHeight="1" x14ac:dyDescent="0.25">
      <c r="A73" s="5"/>
      <c r="B73" s="5"/>
      <c r="E73" s="2"/>
    </row>
    <row r="74" spans="1:14" ht="49.5" customHeight="1" x14ac:dyDescent="0.25">
      <c r="A74" s="11" t="s">
        <v>6</v>
      </c>
      <c r="B74" s="3"/>
      <c r="E74" s="351" t="s">
        <v>51</v>
      </c>
      <c r="F74" s="351"/>
      <c r="G74" s="351"/>
      <c r="H74" s="351"/>
      <c r="I74" s="351"/>
      <c r="J74" s="351"/>
      <c r="K74" s="351"/>
      <c r="L74" s="351"/>
      <c r="M74" s="351"/>
      <c r="N74" s="351"/>
    </row>
    <row r="75" spans="1:14" ht="5.0999999999999996" customHeight="1" x14ac:dyDescent="0.25">
      <c r="A75" s="5"/>
      <c r="B75" s="5"/>
      <c r="E75" s="2"/>
    </row>
    <row r="76" spans="1:14" ht="49.5" customHeight="1" x14ac:dyDescent="0.25">
      <c r="A76" s="11" t="s">
        <v>50</v>
      </c>
      <c r="B76" s="3"/>
      <c r="E76" s="351" t="s">
        <v>49</v>
      </c>
      <c r="F76" s="351"/>
      <c r="G76" s="351"/>
      <c r="H76" s="351"/>
      <c r="I76" s="351"/>
      <c r="J76" s="351"/>
      <c r="K76" s="351"/>
      <c r="L76" s="351"/>
      <c r="M76" s="351"/>
      <c r="N76" s="351"/>
    </row>
    <row r="77" spans="1:14" ht="5.0999999999999996" customHeight="1" x14ac:dyDescent="0.2">
      <c r="A77" s="10"/>
      <c r="B77" s="10"/>
    </row>
    <row r="78" spans="1:14" ht="30.75" customHeight="1" x14ac:dyDescent="0.25">
      <c r="A78" s="9" t="s">
        <v>8</v>
      </c>
      <c r="B78" s="3"/>
      <c r="E78" s="349" t="s">
        <v>48</v>
      </c>
      <c r="F78" s="352"/>
      <c r="G78" s="352"/>
      <c r="H78" s="352"/>
      <c r="I78" s="352"/>
      <c r="J78" s="352"/>
      <c r="K78" s="352"/>
      <c r="L78" s="352"/>
      <c r="M78" s="352"/>
      <c r="N78" s="352"/>
    </row>
    <row r="79" spans="1:14" ht="5.0999999999999996" customHeight="1" x14ac:dyDescent="0.2">
      <c r="A79" s="5"/>
      <c r="B79" s="5"/>
    </row>
    <row r="80" spans="1:14" ht="15.75" customHeight="1" x14ac:dyDescent="0.25">
      <c r="A80" s="3" t="s">
        <v>47</v>
      </c>
      <c r="B80" s="3"/>
      <c r="E80" s="2" t="s">
        <v>46</v>
      </c>
    </row>
    <row r="81" spans="1:14" ht="5.0999999999999996" customHeight="1" x14ac:dyDescent="0.2">
      <c r="A81" s="5"/>
      <c r="B81" s="5"/>
    </row>
    <row r="82" spans="1:14" ht="15.75" customHeight="1" x14ac:dyDescent="0.25">
      <c r="A82" s="8" t="s">
        <v>45</v>
      </c>
      <c r="B82" s="3"/>
      <c r="E82" s="7" t="s">
        <v>44</v>
      </c>
    </row>
    <row r="83" spans="1:14" ht="5.0999999999999996" customHeight="1" x14ac:dyDescent="0.2">
      <c r="A83" s="5"/>
      <c r="B83" s="5"/>
    </row>
    <row r="84" spans="1:14" ht="15.75" customHeight="1" x14ac:dyDescent="0.25">
      <c r="A84" s="3" t="s">
        <v>43</v>
      </c>
      <c r="B84" s="3"/>
      <c r="E84" s="2" t="s">
        <v>42</v>
      </c>
    </row>
    <row r="85" spans="1:14" ht="5.0999999999999996" customHeight="1" x14ac:dyDescent="0.2">
      <c r="A85" s="5"/>
      <c r="B85" s="5"/>
    </row>
    <row r="86" spans="1:14" ht="15.75" customHeight="1" x14ac:dyDescent="0.25">
      <c r="A86" s="3" t="s">
        <v>41</v>
      </c>
      <c r="B86" s="3"/>
      <c r="E86" s="2" t="s">
        <v>40</v>
      </c>
    </row>
    <row r="87" spans="1:14" ht="5.0999999999999996" customHeight="1" x14ac:dyDescent="0.25">
      <c r="A87" s="3"/>
      <c r="B87" s="3"/>
      <c r="E87" s="2"/>
    </row>
    <row r="88" spans="1:14" ht="15.75" customHeight="1" x14ac:dyDescent="0.25">
      <c r="A88" s="8" t="s">
        <v>39</v>
      </c>
      <c r="B88" s="3"/>
      <c r="E88" s="7" t="s">
        <v>38</v>
      </c>
    </row>
    <row r="89" spans="1:14" ht="5.0999999999999996" customHeight="1" x14ac:dyDescent="0.2">
      <c r="A89" s="5"/>
      <c r="B89" s="5"/>
    </row>
    <row r="90" spans="1:14" ht="37.5" customHeight="1" x14ac:dyDescent="0.25">
      <c r="A90" s="6" t="s">
        <v>37</v>
      </c>
      <c r="B90" s="3"/>
      <c r="E90" s="344" t="s">
        <v>36</v>
      </c>
      <c r="F90" s="345"/>
      <c r="G90" s="345"/>
      <c r="H90" s="345"/>
      <c r="I90" s="345"/>
      <c r="J90" s="345"/>
      <c r="K90" s="345"/>
      <c r="L90" s="345"/>
      <c r="M90" s="345"/>
      <c r="N90" s="345"/>
    </row>
    <row r="91" spans="1:14" ht="5.0999999999999996" customHeight="1" x14ac:dyDescent="0.2">
      <c r="A91" s="5"/>
      <c r="B91" s="5"/>
    </row>
    <row r="92" spans="1:14" ht="15.75" customHeight="1" x14ac:dyDescent="0.25">
      <c r="A92" s="3" t="s">
        <v>35</v>
      </c>
      <c r="B92" s="3"/>
      <c r="E92" s="2" t="s">
        <v>34</v>
      </c>
    </row>
    <row r="93" spans="1:14" ht="5.0999999999999996" customHeight="1" x14ac:dyDescent="0.2">
      <c r="A93" s="5"/>
      <c r="B93" s="5"/>
    </row>
    <row r="94" spans="1:14" ht="15.75" customHeight="1" x14ac:dyDescent="0.25">
      <c r="A94" s="3" t="s">
        <v>33</v>
      </c>
      <c r="B94" s="3"/>
      <c r="E94" s="2" t="s">
        <v>32</v>
      </c>
    </row>
    <row r="95" spans="1:14" ht="5.0999999999999996" customHeight="1" x14ac:dyDescent="0.2">
      <c r="A95" s="5"/>
      <c r="B95" s="5"/>
    </row>
    <row r="96" spans="1:14" ht="15.75" customHeight="1" x14ac:dyDescent="0.25">
      <c r="A96" s="3" t="s">
        <v>31</v>
      </c>
      <c r="B96" s="3"/>
      <c r="E96" s="2" t="s">
        <v>30</v>
      </c>
    </row>
    <row r="97" spans="1:5" ht="5.0999999999999996" customHeight="1" x14ac:dyDescent="0.2">
      <c r="A97" s="5"/>
      <c r="B97" s="5"/>
    </row>
    <row r="98" spans="1:5" ht="15.75" customHeight="1" x14ac:dyDescent="0.25">
      <c r="A98" s="3" t="s">
        <v>29</v>
      </c>
      <c r="B98" s="3"/>
      <c r="E98" s="2" t="s">
        <v>28</v>
      </c>
    </row>
    <row r="99" spans="1:5" ht="5.0999999999999996" customHeight="1" x14ac:dyDescent="0.2">
      <c r="A99" s="5"/>
      <c r="B99" s="5"/>
    </row>
    <row r="100" spans="1:5" ht="15.75" customHeight="1" x14ac:dyDescent="0.25">
      <c r="A100" s="4" t="s">
        <v>14</v>
      </c>
      <c r="B100" s="3"/>
      <c r="E100" s="2" t="s">
        <v>27</v>
      </c>
    </row>
  </sheetData>
  <mergeCells count="55">
    <mergeCell ref="E90:N90"/>
    <mergeCell ref="A60:N60"/>
    <mergeCell ref="A62:C62"/>
    <mergeCell ref="E62:N62"/>
    <mergeCell ref="E64:I64"/>
    <mergeCell ref="A66:B66"/>
    <mergeCell ref="E66:I66"/>
    <mergeCell ref="E70:N70"/>
    <mergeCell ref="E72:N72"/>
    <mergeCell ref="E74:N74"/>
    <mergeCell ref="E76:N76"/>
    <mergeCell ref="E78:N78"/>
    <mergeCell ref="A53:D53"/>
    <mergeCell ref="F53:H53"/>
    <mergeCell ref="J53:M53"/>
    <mergeCell ref="B54:C54"/>
    <mergeCell ref="F54:I54"/>
    <mergeCell ref="J54:M54"/>
    <mergeCell ref="A52:D52"/>
    <mergeCell ref="E52:I52"/>
    <mergeCell ref="B45:C45"/>
    <mergeCell ref="D45:F45"/>
    <mergeCell ref="G45:H45"/>
    <mergeCell ref="B46:C46"/>
    <mergeCell ref="D46:F46"/>
    <mergeCell ref="G46:H46"/>
    <mergeCell ref="B47:C47"/>
    <mergeCell ref="D47:F47"/>
    <mergeCell ref="G47:H47"/>
    <mergeCell ref="A49:D49"/>
    <mergeCell ref="E49:I49"/>
    <mergeCell ref="B44:C44"/>
    <mergeCell ref="D44:F44"/>
    <mergeCell ref="G44:H44"/>
    <mergeCell ref="F12:F13"/>
    <mergeCell ref="G12:G13"/>
    <mergeCell ref="H12:H13"/>
    <mergeCell ref="A39:L41"/>
    <mergeCell ref="C42:I42"/>
    <mergeCell ref="B43:C43"/>
    <mergeCell ref="D43:F43"/>
    <mergeCell ref="G43:H43"/>
    <mergeCell ref="I12:I13"/>
    <mergeCell ref="J12:J13"/>
    <mergeCell ref="K12:K13"/>
    <mergeCell ref="A12:A13"/>
    <mergeCell ref="B12:B13"/>
    <mergeCell ref="C12:C13"/>
    <mergeCell ref="D12:D13"/>
    <mergeCell ref="E12:E13"/>
    <mergeCell ref="A4:N4"/>
    <mergeCell ref="A6:N6"/>
    <mergeCell ref="D7:I7"/>
    <mergeCell ref="C11:G11"/>
    <mergeCell ref="H11:K11"/>
  </mergeCells>
  <pageMargins left="0.62992125984251968" right="0.62992125984251968" top="0.39370078740157483" bottom="0.23622047244094491" header="0" footer="0"/>
  <pageSetup scale="70" orientation="landscape" r:id="rId1"/>
  <headerFooter alignWithMargins="0">
    <oddFooter>&amp;R</oddFooter>
  </headerFooter>
  <rowBreaks count="1" manualBreakCount="1">
    <brk id="56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4:S100"/>
  <sheetViews>
    <sheetView showGridLines="0" topLeftCell="B16" zoomScale="130" zoomScaleNormal="130" zoomScaleSheetLayoutView="100" workbookViewId="0">
      <selection activeCell="L35" sqref="L35"/>
    </sheetView>
  </sheetViews>
  <sheetFormatPr baseColWidth="10" defaultRowHeight="12.75" x14ac:dyDescent="0.2"/>
  <cols>
    <col min="1" max="1" width="24.2851562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272"/>
      <c r="B7" s="272"/>
      <c r="C7" s="272"/>
      <c r="D7" s="321" t="s">
        <v>122</v>
      </c>
      <c r="E7" s="321"/>
      <c r="F7" s="321"/>
      <c r="G7" s="321"/>
      <c r="H7" s="321"/>
      <c r="I7" s="321"/>
      <c r="J7" s="272"/>
      <c r="K7" s="272"/>
      <c r="L7" s="272"/>
      <c r="M7" s="272"/>
      <c r="N7" s="272"/>
    </row>
    <row r="8" spans="1:14" ht="15.75" customHeight="1" x14ac:dyDescent="0.25">
      <c r="A8" s="85"/>
      <c r="B8" s="84"/>
      <c r="C8" s="84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</row>
    <row r="9" spans="1:14" ht="15.75" hidden="1" customHeight="1" x14ac:dyDescent="0.25">
      <c r="A9" s="85" t="s">
        <v>1</v>
      </c>
      <c r="B9" s="84"/>
      <c r="C9" s="84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</row>
    <row r="10" spans="1:14" ht="15.75" customHeight="1" x14ac:dyDescent="0.2">
      <c r="B10" s="5"/>
      <c r="C10" s="83"/>
      <c r="D10" s="5"/>
      <c r="E10" s="15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274"/>
      <c r="M12" s="274"/>
      <c r="N12" s="273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274"/>
      <c r="M13" s="274"/>
      <c r="N13" s="79" t="s">
        <v>15</v>
      </c>
    </row>
    <row r="14" spans="1:14" ht="15.75" customHeight="1" x14ac:dyDescent="0.25">
      <c r="A14" s="77" t="s">
        <v>81</v>
      </c>
      <c r="B14" s="302"/>
      <c r="C14" s="303">
        <v>4781473.8099999996</v>
      </c>
      <c r="D14" s="304"/>
      <c r="E14" s="304"/>
      <c r="F14" s="305"/>
      <c r="G14" s="306"/>
      <c r="H14" s="306"/>
      <c r="I14" s="306"/>
      <c r="J14" s="306"/>
      <c r="K14" s="307"/>
      <c r="L14" s="307"/>
      <c r="M14" s="307"/>
      <c r="N14" s="72"/>
    </row>
    <row r="15" spans="1:14" ht="15.75" customHeight="1" x14ac:dyDescent="0.25">
      <c r="A15" s="77" t="s">
        <v>80</v>
      </c>
      <c r="B15" s="302"/>
      <c r="C15" s="303"/>
      <c r="D15" s="304"/>
      <c r="E15" s="304"/>
      <c r="F15" s="305"/>
      <c r="G15" s="306"/>
      <c r="H15" s="306"/>
      <c r="I15" s="306"/>
      <c r="J15" s="306"/>
      <c r="K15" s="307"/>
      <c r="L15" s="307"/>
      <c r="M15" s="307"/>
      <c r="N15" s="72"/>
    </row>
    <row r="16" spans="1:14" ht="15.75" customHeight="1" x14ac:dyDescent="0.25">
      <c r="A16" s="77" t="s">
        <v>79</v>
      </c>
      <c r="B16" s="302"/>
      <c r="C16" s="303">
        <v>4477327.4800000004</v>
      </c>
      <c r="D16" s="304"/>
      <c r="E16" s="304"/>
      <c r="F16" s="305"/>
      <c r="G16" s="306"/>
      <c r="H16" s="306"/>
      <c r="I16" s="306"/>
      <c r="J16" s="306"/>
      <c r="K16" s="307"/>
      <c r="L16" s="307"/>
      <c r="M16" s="307"/>
      <c r="N16" s="72"/>
    </row>
    <row r="17" spans="1:19" ht="15.75" customHeight="1" x14ac:dyDescent="0.25">
      <c r="A17" s="77" t="s">
        <v>78</v>
      </c>
      <c r="B17" s="302"/>
      <c r="C17" s="303">
        <v>1908893.79</v>
      </c>
      <c r="D17" s="304"/>
      <c r="E17" s="304"/>
      <c r="F17" s="305"/>
      <c r="G17" s="306"/>
      <c r="H17" s="306"/>
      <c r="I17" s="306"/>
      <c r="J17" s="306"/>
      <c r="K17" s="307"/>
      <c r="L17" s="307"/>
      <c r="M17" s="307"/>
      <c r="N17" s="72"/>
      <c r="O17" s="68"/>
    </row>
    <row r="18" spans="1:19" ht="15.75" customHeight="1" x14ac:dyDescent="0.25">
      <c r="A18" s="77" t="s">
        <v>77</v>
      </c>
      <c r="B18" s="308"/>
      <c r="C18" s="303"/>
      <c r="D18" s="304"/>
      <c r="E18" s="52"/>
      <c r="F18" s="305"/>
      <c r="G18" s="306"/>
      <c r="H18" s="52"/>
      <c r="I18" s="306"/>
      <c r="J18" s="306"/>
      <c r="K18" s="307"/>
      <c r="L18" s="307"/>
      <c r="M18" s="307"/>
      <c r="N18" s="72"/>
      <c r="O18" s="68"/>
    </row>
    <row r="19" spans="1:19" ht="15.75" customHeight="1" x14ac:dyDescent="0.25">
      <c r="A19" s="62" t="s">
        <v>76</v>
      </c>
      <c r="B19" s="309">
        <v>13131151.18</v>
      </c>
      <c r="C19" s="303">
        <f>SUM(C14:C18)</f>
        <v>11167695.079999998</v>
      </c>
      <c r="D19" s="304"/>
      <c r="E19" s="304">
        <v>10205743.99</v>
      </c>
      <c r="F19" s="310">
        <v>0</v>
      </c>
      <c r="G19" s="306">
        <f t="shared" ref="G19:G33" si="0">+C19+D19-E19</f>
        <v>961951.08999999799</v>
      </c>
      <c r="H19" s="306">
        <f>643826.89+334772.05</f>
        <v>978598.94</v>
      </c>
      <c r="I19" s="306">
        <v>0</v>
      </c>
      <c r="J19" s="306">
        <f>0.04+9937+1719.81+3783.58+623+584.06+0.36</f>
        <v>16647.850000000002</v>
      </c>
      <c r="K19" s="306">
        <f t="shared" ref="K19:K34" si="1">+H19+I19-J19</f>
        <v>961951.09</v>
      </c>
      <c r="L19" s="303">
        <f>+G19-K19</f>
        <v>-1.9790604710578918E-9</v>
      </c>
      <c r="M19" s="303">
        <f t="shared" ref="M19:M34" si="2">G19-K19</f>
        <v>-1.9790604710578918E-9</v>
      </c>
      <c r="N19" s="72">
        <f t="shared" ref="N19:N29" si="3">E19/B19</f>
        <v>0.77721624327532879</v>
      </c>
      <c r="O19" s="68"/>
    </row>
    <row r="20" spans="1:19" ht="15.75" customHeight="1" x14ac:dyDescent="0.25">
      <c r="A20" s="62" t="s">
        <v>75</v>
      </c>
      <c r="B20" s="311">
        <v>16873510</v>
      </c>
      <c r="C20" s="311">
        <v>11151044.07</v>
      </c>
      <c r="D20" s="304"/>
      <c r="E20" s="304">
        <v>9669913.9700000007</v>
      </c>
      <c r="F20" s="305">
        <f t="shared" ref="F20:F30" si="4">E20/C20</f>
        <v>0.86717565721180045</v>
      </c>
      <c r="G20" s="306">
        <f t="shared" si="0"/>
        <v>1481130.0999999996</v>
      </c>
      <c r="H20" s="306">
        <v>1670467.5</v>
      </c>
      <c r="I20" s="306">
        <v>0</v>
      </c>
      <c r="J20" s="306">
        <f>106691.71+82645.69</f>
        <v>189337.40000000002</v>
      </c>
      <c r="K20" s="306">
        <f t="shared" si="1"/>
        <v>1481130.1</v>
      </c>
      <c r="L20" s="303">
        <f t="shared" ref="L20:L34" si="5">+G20-K20</f>
        <v>0</v>
      </c>
      <c r="M20" s="303">
        <f t="shared" si="2"/>
        <v>0</v>
      </c>
      <c r="N20" s="60">
        <f t="shared" si="3"/>
        <v>0.57308254002871961</v>
      </c>
      <c r="O20" s="70"/>
      <c r="P20" s="71"/>
      <c r="Q20" s="48"/>
    </row>
    <row r="21" spans="1:19" ht="15.75" customHeight="1" x14ac:dyDescent="0.25">
      <c r="A21" s="62" t="s">
        <v>74</v>
      </c>
      <c r="B21" s="311">
        <v>7436006</v>
      </c>
      <c r="C21" s="311">
        <v>6179551.0800000001</v>
      </c>
      <c r="D21" s="304"/>
      <c r="E21" s="304">
        <v>6107240.6200000001</v>
      </c>
      <c r="F21" s="305">
        <f t="shared" si="4"/>
        <v>0.98829842830589565</v>
      </c>
      <c r="G21" s="306">
        <f t="shared" si="0"/>
        <v>72310.459999999963</v>
      </c>
      <c r="H21" s="306">
        <v>137531.54999999999</v>
      </c>
      <c r="I21" s="306">
        <v>0</v>
      </c>
      <c r="J21" s="306">
        <f>45092+20129.09</f>
        <v>65221.09</v>
      </c>
      <c r="K21" s="306">
        <f t="shared" si="1"/>
        <v>72310.459999999992</v>
      </c>
      <c r="L21" s="303">
        <f t="shared" si="5"/>
        <v>0</v>
      </c>
      <c r="M21" s="303">
        <f t="shared" si="2"/>
        <v>0</v>
      </c>
      <c r="N21" s="60">
        <f t="shared" si="3"/>
        <v>0.82130657506193516</v>
      </c>
      <c r="O21" s="70"/>
      <c r="P21" s="69"/>
      <c r="Q21" s="45"/>
    </row>
    <row r="22" spans="1:19" ht="15.75" customHeight="1" x14ac:dyDescent="0.25">
      <c r="A22" s="62" t="s">
        <v>73</v>
      </c>
      <c r="B22" s="311">
        <v>281545</v>
      </c>
      <c r="C22" s="312">
        <v>222171.21</v>
      </c>
      <c r="D22" s="313"/>
      <c r="E22" s="304">
        <v>190433.35</v>
      </c>
      <c r="F22" s="305">
        <f>E22/C22</f>
        <v>0.85714683734224617</v>
      </c>
      <c r="G22" s="306">
        <f>+C22+D22-E22</f>
        <v>31737.859999999986</v>
      </c>
      <c r="H22" s="306">
        <v>31737.86</v>
      </c>
      <c r="I22" s="306">
        <v>0</v>
      </c>
      <c r="J22" s="306">
        <v>0</v>
      </c>
      <c r="K22" s="306">
        <f t="shared" si="1"/>
        <v>31737.86</v>
      </c>
      <c r="L22" s="303">
        <f t="shared" si="5"/>
        <v>0</v>
      </c>
      <c r="M22" s="303">
        <f t="shared" si="2"/>
        <v>0</v>
      </c>
      <c r="N22" s="60">
        <f t="shared" si="3"/>
        <v>0.67638690085066333</v>
      </c>
      <c r="O22" s="68"/>
    </row>
    <row r="23" spans="1:19" ht="15.75" customHeight="1" x14ac:dyDescent="0.25">
      <c r="A23" s="62" t="s">
        <v>86</v>
      </c>
      <c r="B23" s="311">
        <v>824025</v>
      </c>
      <c r="C23" s="311">
        <v>721307.96</v>
      </c>
      <c r="D23" s="304"/>
      <c r="E23" s="304">
        <v>657002.4</v>
      </c>
      <c r="F23" s="305">
        <f t="shared" ref="F23:F25" si="6">E23/C23</f>
        <v>0.91084867550886317</v>
      </c>
      <c r="G23" s="306">
        <f>+C23+D23-E23</f>
        <v>64305.559999999939</v>
      </c>
      <c r="H23" s="306">
        <v>77153.919999999998</v>
      </c>
      <c r="I23" s="306">
        <v>0</v>
      </c>
      <c r="J23" s="306">
        <v>12848.36</v>
      </c>
      <c r="K23" s="306">
        <f t="shared" si="1"/>
        <v>64305.56</v>
      </c>
      <c r="L23" s="303">
        <f t="shared" si="5"/>
        <v>-5.8207660913467407E-11</v>
      </c>
      <c r="M23" s="303">
        <f t="shared" si="2"/>
        <v>-5.8207660913467407E-11</v>
      </c>
      <c r="N23" s="60">
        <f t="shared" si="3"/>
        <v>0.79730881951397103</v>
      </c>
    </row>
    <row r="24" spans="1:19" ht="15.75" customHeight="1" x14ac:dyDescent="0.25">
      <c r="A24" s="62" t="s">
        <v>72</v>
      </c>
      <c r="B24" s="311">
        <v>600184</v>
      </c>
      <c r="C24" s="311">
        <v>350923.43</v>
      </c>
      <c r="D24" s="304"/>
      <c r="E24" s="304">
        <v>320364.28999999998</v>
      </c>
      <c r="F24" s="305">
        <f t="shared" si="6"/>
        <v>0.91291792628380497</v>
      </c>
      <c r="G24" s="306">
        <f t="shared" si="0"/>
        <v>30559.140000000014</v>
      </c>
      <c r="H24" s="306">
        <v>30559.14</v>
      </c>
      <c r="I24" s="306">
        <v>0</v>
      </c>
      <c r="J24" s="306">
        <v>0</v>
      </c>
      <c r="K24" s="306">
        <f t="shared" si="1"/>
        <v>30559.14</v>
      </c>
      <c r="L24" s="303">
        <f t="shared" si="5"/>
        <v>0</v>
      </c>
      <c r="M24" s="303">
        <f t="shared" si="2"/>
        <v>0</v>
      </c>
      <c r="N24" s="60">
        <f t="shared" si="3"/>
        <v>0.53377679178385296</v>
      </c>
    </row>
    <row r="25" spans="1:19" ht="15.75" customHeight="1" x14ac:dyDescent="0.25">
      <c r="A25" s="62" t="s">
        <v>93</v>
      </c>
      <c r="B25" s="311">
        <v>11851740</v>
      </c>
      <c r="C25" s="312">
        <v>9876747.7599999998</v>
      </c>
      <c r="D25" s="313"/>
      <c r="E25" s="313">
        <v>9069326.25</v>
      </c>
      <c r="F25" s="305">
        <f t="shared" si="6"/>
        <v>0.91825026520673236</v>
      </c>
      <c r="G25" s="306">
        <f>+C25+D25-E25</f>
        <v>807421.50999999978</v>
      </c>
      <c r="H25" s="314">
        <v>854542.39</v>
      </c>
      <c r="I25" s="314">
        <v>0</v>
      </c>
      <c r="J25" s="314">
        <f>47120.88</f>
        <v>47120.88</v>
      </c>
      <c r="K25" s="306">
        <f t="shared" si="1"/>
        <v>807421.51</v>
      </c>
      <c r="L25" s="303">
        <f t="shared" si="5"/>
        <v>0</v>
      </c>
      <c r="M25" s="303">
        <f t="shared" si="2"/>
        <v>0</v>
      </c>
      <c r="N25" s="66">
        <f t="shared" si="3"/>
        <v>0.76523162421720359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91</v>
      </c>
      <c r="B26" s="311">
        <v>3479677</v>
      </c>
      <c r="C26" s="311">
        <v>3480596.01</v>
      </c>
      <c r="D26" s="313"/>
      <c r="E26" s="304">
        <v>1869952.15</v>
      </c>
      <c r="F26" s="315">
        <f>E26/H26</f>
        <v>1.1496977268959776</v>
      </c>
      <c r="G26" s="306">
        <f>+C26+D26-E26</f>
        <v>1610643.8599999999</v>
      </c>
      <c r="H26" s="304">
        <v>1626472.86</v>
      </c>
      <c r="I26" s="306">
        <v>0</v>
      </c>
      <c r="J26" s="306">
        <f>10552.67+5276.33</f>
        <v>15829</v>
      </c>
      <c r="K26" s="306">
        <f t="shared" si="1"/>
        <v>1610643.86</v>
      </c>
      <c r="L26" s="303">
        <f t="shared" si="5"/>
        <v>0</v>
      </c>
      <c r="M26" s="303">
        <f t="shared" si="2"/>
        <v>0</v>
      </c>
      <c r="N26" s="60">
        <f t="shared" si="3"/>
        <v>0.53739245050618201</v>
      </c>
      <c r="O26" s="64"/>
    </row>
    <row r="27" spans="1:19" ht="15.75" customHeight="1" x14ac:dyDescent="0.25">
      <c r="A27" s="62" t="s">
        <v>90</v>
      </c>
      <c r="B27" s="311"/>
      <c r="C27" s="304">
        <v>0</v>
      </c>
      <c r="D27" s="313"/>
      <c r="E27" s="304">
        <v>0</v>
      </c>
      <c r="F27" s="315">
        <v>0</v>
      </c>
      <c r="G27" s="314">
        <f>+C27+D27-E27</f>
        <v>0</v>
      </c>
      <c r="H27" s="306">
        <v>0</v>
      </c>
      <c r="I27" s="306">
        <v>0</v>
      </c>
      <c r="J27" s="306">
        <v>0</v>
      </c>
      <c r="K27" s="306">
        <f t="shared" si="1"/>
        <v>0</v>
      </c>
      <c r="L27" s="303">
        <f t="shared" si="5"/>
        <v>0</v>
      </c>
      <c r="M27" s="303">
        <f t="shared" si="2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312">
        <v>99465</v>
      </c>
      <c r="C28" s="311">
        <v>147109.54999999999</v>
      </c>
      <c r="D28" s="304"/>
      <c r="E28" s="304">
        <v>122486.12</v>
      </c>
      <c r="F28" s="305">
        <f t="shared" si="4"/>
        <v>0.83261841260475611</v>
      </c>
      <c r="G28" s="314">
        <f>+C28+D28-E28</f>
        <v>24623.429999999993</v>
      </c>
      <c r="H28" s="306">
        <v>24623.43</v>
      </c>
      <c r="I28" s="306">
        <v>0</v>
      </c>
      <c r="J28" s="306">
        <v>0</v>
      </c>
      <c r="K28" s="306">
        <f t="shared" si="1"/>
        <v>24623.43</v>
      </c>
      <c r="L28" s="303">
        <f t="shared" si="5"/>
        <v>0</v>
      </c>
      <c r="M28" s="303">
        <f t="shared" si="2"/>
        <v>0</v>
      </c>
      <c r="N28" s="60">
        <f t="shared" si="3"/>
        <v>1.2314494545820138</v>
      </c>
    </row>
    <row r="29" spans="1:19" ht="15.75" customHeight="1" x14ac:dyDescent="0.25">
      <c r="A29" s="62" t="s">
        <v>69</v>
      </c>
      <c r="B29" s="311">
        <v>29793</v>
      </c>
      <c r="C29" s="311">
        <v>24833.74</v>
      </c>
      <c r="D29" s="304"/>
      <c r="E29" s="304">
        <v>22071.24</v>
      </c>
      <c r="F29" s="305">
        <f t="shared" si="4"/>
        <v>0.88876021090661339</v>
      </c>
      <c r="G29" s="306">
        <f t="shared" si="0"/>
        <v>2762.5</v>
      </c>
      <c r="H29" s="306">
        <v>2762.5</v>
      </c>
      <c r="I29" s="306">
        <v>0</v>
      </c>
      <c r="J29" s="306">
        <v>0</v>
      </c>
      <c r="K29" s="306">
        <f t="shared" si="1"/>
        <v>2762.5</v>
      </c>
      <c r="L29" s="303">
        <f t="shared" si="5"/>
        <v>0</v>
      </c>
      <c r="M29" s="303">
        <f t="shared" si="2"/>
        <v>0</v>
      </c>
      <c r="N29" s="60">
        <f t="shared" si="3"/>
        <v>0.74081965562380425</v>
      </c>
    </row>
    <row r="30" spans="1:19" ht="15.75" customHeight="1" x14ac:dyDescent="0.25">
      <c r="A30" s="62" t="s">
        <v>26</v>
      </c>
      <c r="B30" s="311">
        <v>68757.710000000006</v>
      </c>
      <c r="C30" s="316">
        <v>208457.2</v>
      </c>
      <c r="D30" s="304"/>
      <c r="E30" s="304">
        <v>0</v>
      </c>
      <c r="F30" s="305">
        <f t="shared" si="4"/>
        <v>0</v>
      </c>
      <c r="G30" s="306">
        <f>+C30+D30-E30</f>
        <v>208457.2</v>
      </c>
      <c r="H30" s="306">
        <v>68788.039999999994</v>
      </c>
      <c r="I30" s="306">
        <f>106691.71+20129.09+12848.36</f>
        <v>139669.16</v>
      </c>
      <c r="J30" s="306">
        <v>0</v>
      </c>
      <c r="K30" s="306">
        <f t="shared" si="1"/>
        <v>208457.2</v>
      </c>
      <c r="L30" s="303">
        <f t="shared" si="5"/>
        <v>0</v>
      </c>
      <c r="M30" s="303">
        <f t="shared" si="2"/>
        <v>0</v>
      </c>
      <c r="N30" s="60">
        <v>0</v>
      </c>
    </row>
    <row r="31" spans="1:19" ht="15.75" customHeight="1" x14ac:dyDescent="0.25">
      <c r="A31" s="62" t="s">
        <v>85</v>
      </c>
      <c r="B31" s="311"/>
      <c r="C31" s="311">
        <v>0</v>
      </c>
      <c r="D31" s="304"/>
      <c r="E31" s="304">
        <v>0</v>
      </c>
      <c r="F31" s="305">
        <v>0</v>
      </c>
      <c r="G31" s="306">
        <f t="shared" si="0"/>
        <v>0</v>
      </c>
      <c r="H31" s="306">
        <v>0</v>
      </c>
      <c r="I31" s="306">
        <v>0</v>
      </c>
      <c r="J31" s="306">
        <v>0</v>
      </c>
      <c r="K31" s="306">
        <f t="shared" si="1"/>
        <v>0</v>
      </c>
      <c r="L31" s="303">
        <f t="shared" si="5"/>
        <v>0</v>
      </c>
      <c r="M31" s="303">
        <f t="shared" si="2"/>
        <v>0</v>
      </c>
      <c r="N31" s="60">
        <v>0</v>
      </c>
    </row>
    <row r="32" spans="1:19" ht="15.75" customHeight="1" x14ac:dyDescent="0.25">
      <c r="A32" s="62" t="s">
        <v>84</v>
      </c>
      <c r="B32" s="311">
        <v>2885500</v>
      </c>
      <c r="C32" s="311">
        <v>2430694.09</v>
      </c>
      <c r="D32" s="304"/>
      <c r="E32" s="304">
        <v>2402803.8199999998</v>
      </c>
      <c r="F32" s="305"/>
      <c r="G32" s="306">
        <f t="shared" si="0"/>
        <v>27890.270000000019</v>
      </c>
      <c r="H32" s="306">
        <v>27890.27</v>
      </c>
      <c r="I32" s="306">
        <v>0</v>
      </c>
      <c r="J32" s="306">
        <v>0</v>
      </c>
      <c r="K32" s="306">
        <f t="shared" si="1"/>
        <v>27890.27</v>
      </c>
      <c r="L32" s="303">
        <f t="shared" si="5"/>
        <v>0</v>
      </c>
      <c r="M32" s="303">
        <f t="shared" si="2"/>
        <v>0</v>
      </c>
      <c r="N32" s="60">
        <v>0</v>
      </c>
    </row>
    <row r="33" spans="1:18" ht="15.75" customHeight="1" x14ac:dyDescent="0.25">
      <c r="A33" s="62" t="s">
        <v>114</v>
      </c>
      <c r="B33" s="311">
        <v>200000</v>
      </c>
      <c r="C33" s="311">
        <v>200023.91</v>
      </c>
      <c r="D33" s="304"/>
      <c r="E33" s="304">
        <v>114500</v>
      </c>
      <c r="F33" s="305"/>
      <c r="G33" s="306">
        <f t="shared" si="0"/>
        <v>85523.91</v>
      </c>
      <c r="H33" s="306">
        <v>85523.91</v>
      </c>
      <c r="I33" s="306">
        <v>0</v>
      </c>
      <c r="J33" s="306">
        <v>0</v>
      </c>
      <c r="K33" s="306">
        <f t="shared" si="1"/>
        <v>85523.91</v>
      </c>
      <c r="L33" s="303">
        <f t="shared" si="5"/>
        <v>0</v>
      </c>
      <c r="M33" s="303">
        <f t="shared" si="2"/>
        <v>0</v>
      </c>
      <c r="N33" s="60">
        <v>0</v>
      </c>
    </row>
    <row r="34" spans="1:18" ht="15.75" customHeight="1" x14ac:dyDescent="0.25">
      <c r="A34" s="107" t="s">
        <v>92</v>
      </c>
      <c r="B34" s="317"/>
      <c r="C34" s="317"/>
      <c r="D34" s="317"/>
      <c r="E34" s="317">
        <v>0</v>
      </c>
      <c r="F34" s="318">
        <v>0</v>
      </c>
      <c r="G34" s="319">
        <f t="shared" ref="G34" si="7">C34-E34</f>
        <v>0</v>
      </c>
      <c r="H34" s="319">
        <v>173.01</v>
      </c>
      <c r="I34" s="319">
        <v>103243.35</v>
      </c>
      <c r="J34" s="319">
        <f>103243.35+173.01</f>
        <v>103416.36</v>
      </c>
      <c r="K34" s="306">
        <f t="shared" si="1"/>
        <v>0</v>
      </c>
      <c r="L34" s="303">
        <f t="shared" si="5"/>
        <v>0</v>
      </c>
      <c r="M34" s="303">
        <f t="shared" si="2"/>
        <v>0</v>
      </c>
      <c r="N34" s="60">
        <v>0</v>
      </c>
    </row>
    <row r="35" spans="1:18" ht="15.75" customHeight="1" x14ac:dyDescent="0.25">
      <c r="A35" s="59" t="s">
        <v>68</v>
      </c>
      <c r="B35" s="304">
        <f>SUM(B19:B33)</f>
        <v>57761353.890000001</v>
      </c>
      <c r="C35" s="304">
        <f>SUM(C19:C34)</f>
        <v>46161155.089999989</v>
      </c>
      <c r="D35" s="304">
        <f>SUM(D19:D34)</f>
        <v>0</v>
      </c>
      <c r="E35" s="304">
        <f>SUM(E19:E34)</f>
        <v>40751838.200000003</v>
      </c>
      <c r="F35" s="320"/>
      <c r="G35" s="306">
        <f t="shared" ref="G35:I35" si="8">SUM(G19:G34)</f>
        <v>5409316.8899999969</v>
      </c>
      <c r="H35" s="306">
        <f t="shared" si="8"/>
        <v>5616825.3199999994</v>
      </c>
      <c r="I35" s="306">
        <f t="shared" si="8"/>
        <v>242912.51</v>
      </c>
      <c r="J35" s="306">
        <f>SUM(J19:J34)</f>
        <v>450420.94</v>
      </c>
      <c r="K35" s="306">
        <f>SUM(K19:K34)</f>
        <v>5409316.8899999997</v>
      </c>
      <c r="L35" s="306">
        <f>SUM(L19:L34)</f>
        <v>-2.0372681319713593E-9</v>
      </c>
      <c r="M35" s="306">
        <f>SUM(M19:M34)</f>
        <v>-2.0372681319713593E-9</v>
      </c>
      <c r="N35" s="60">
        <v>0</v>
      </c>
    </row>
    <row r="36" spans="1:18" ht="15.75" customHeight="1" x14ac:dyDescent="0.25">
      <c r="A36" s="153"/>
      <c r="B36" s="154"/>
      <c r="C36" s="154"/>
      <c r="D36" s="154"/>
      <c r="E36" s="154"/>
      <c r="F36" s="155"/>
      <c r="G36" s="55"/>
      <c r="H36" s="55"/>
      <c r="I36" s="55"/>
      <c r="J36" s="55"/>
      <c r="K36" s="55"/>
      <c r="L36" s="55"/>
      <c r="M36" s="55"/>
      <c r="N36" s="55"/>
    </row>
    <row r="37" spans="1:18" ht="15.75" customHeight="1" x14ac:dyDescent="0.25">
      <c r="A37" s="153"/>
      <c r="B37" s="154"/>
      <c r="C37" s="154"/>
      <c r="D37" s="154"/>
      <c r="E37" s="154"/>
      <c r="F37" s="155"/>
      <c r="G37" s="55"/>
      <c r="H37" s="55"/>
      <c r="I37" s="55"/>
      <c r="J37" s="55"/>
      <c r="K37" s="55"/>
      <c r="L37" s="55"/>
      <c r="M37" s="55"/>
      <c r="N37" s="55"/>
    </row>
    <row r="38" spans="1:18" ht="15.75" customHeight="1" x14ac:dyDescent="0.25">
      <c r="A38" s="153"/>
      <c r="B38" s="154"/>
      <c r="C38" s="154"/>
      <c r="D38" s="154"/>
      <c r="E38" s="154"/>
      <c r="F38" s="155"/>
      <c r="G38" s="55"/>
      <c r="H38" s="55"/>
      <c r="I38" s="55"/>
      <c r="J38" s="55"/>
      <c r="K38" s="55"/>
      <c r="L38" s="55"/>
      <c r="M38" s="55"/>
      <c r="N38" s="55"/>
    </row>
    <row r="39" spans="1:18" ht="15.75" customHeight="1" x14ac:dyDescent="0.25">
      <c r="A39" s="353" t="s">
        <v>97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55"/>
      <c r="N39" s="54"/>
    </row>
    <row r="40" spans="1:18" ht="15.75" customHeight="1" x14ac:dyDescent="0.25">
      <c r="A40" s="353"/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55"/>
      <c r="N40" s="54"/>
    </row>
    <row r="41" spans="1:18" ht="24.75" customHeight="1" x14ac:dyDescent="0.25">
      <c r="A41" s="353"/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55"/>
      <c r="N41" s="54"/>
    </row>
    <row r="42" spans="1:18" ht="15.75" customHeight="1" x14ac:dyDescent="0.2">
      <c r="C42" s="374"/>
      <c r="D42" s="374"/>
      <c r="E42" s="374"/>
      <c r="F42" s="374"/>
      <c r="G42" s="374"/>
      <c r="H42" s="374"/>
      <c r="I42" s="374"/>
      <c r="J42" s="52"/>
      <c r="K42" s="53"/>
      <c r="L42" s="52"/>
      <c r="M42" s="53"/>
      <c r="N42" s="52"/>
      <c r="O42" s="52"/>
      <c r="P42" s="52"/>
      <c r="Q42" s="52"/>
      <c r="R42" s="52"/>
    </row>
    <row r="43" spans="1:18" ht="15.75" hidden="1" customHeight="1" x14ac:dyDescent="0.25">
      <c r="B43" s="354" t="s">
        <v>16</v>
      </c>
      <c r="C43" s="354"/>
      <c r="D43" s="355" t="s">
        <v>17</v>
      </c>
      <c r="E43" s="356"/>
      <c r="F43" s="357"/>
      <c r="G43" s="358" t="s">
        <v>18</v>
      </c>
      <c r="H43" s="358"/>
      <c r="I43" s="276" t="s">
        <v>8</v>
      </c>
      <c r="J43" s="48"/>
      <c r="K43" s="48"/>
      <c r="M43" s="48"/>
    </row>
    <row r="44" spans="1:18" ht="15.75" hidden="1" customHeight="1" x14ac:dyDescent="0.25">
      <c r="B44" s="359" t="s">
        <v>19</v>
      </c>
      <c r="C44" s="359"/>
      <c r="D44" s="355"/>
      <c r="E44" s="356"/>
      <c r="F44" s="357"/>
      <c r="G44" s="360"/>
      <c r="H44" s="360"/>
      <c r="I44" s="44"/>
      <c r="J44" s="48"/>
      <c r="K44" s="45"/>
      <c r="M44" s="47"/>
    </row>
    <row r="45" spans="1:18" ht="15.75" hidden="1" customHeight="1" x14ac:dyDescent="0.25">
      <c r="B45" s="358" t="s">
        <v>20</v>
      </c>
      <c r="C45" s="358"/>
      <c r="D45" s="361"/>
      <c r="E45" s="362"/>
      <c r="F45" s="363"/>
      <c r="G45" s="364"/>
      <c r="H45" s="364"/>
      <c r="I45" s="44" t="e">
        <f>G45/D45</f>
        <v>#DIV/0!</v>
      </c>
      <c r="J45" s="48"/>
      <c r="K45" s="47"/>
    </row>
    <row r="46" spans="1:18" ht="15.75" hidden="1" customHeight="1" x14ac:dyDescent="0.25">
      <c r="B46" s="358" t="s">
        <v>21</v>
      </c>
      <c r="C46" s="358"/>
      <c r="D46" s="361"/>
      <c r="E46" s="362"/>
      <c r="F46" s="363"/>
      <c r="G46" s="364"/>
      <c r="H46" s="364"/>
      <c r="I46" s="44" t="e">
        <f>G46/D46</f>
        <v>#DIV/0!</v>
      </c>
      <c r="J46" s="46"/>
      <c r="K46" s="45"/>
    </row>
    <row r="47" spans="1:18" ht="15.75" hidden="1" customHeight="1" x14ac:dyDescent="0.25">
      <c r="B47" s="358" t="s">
        <v>22</v>
      </c>
      <c r="C47" s="358"/>
      <c r="D47" s="361"/>
      <c r="E47" s="362"/>
      <c r="F47" s="363"/>
      <c r="G47" s="364"/>
      <c r="H47" s="364"/>
      <c r="I47" s="44" t="e">
        <f>G47/D47</f>
        <v>#DIV/0!</v>
      </c>
    </row>
    <row r="48" spans="1:18" ht="15.75" customHeight="1" x14ac:dyDescent="0.2">
      <c r="A48" s="279"/>
      <c r="B48" s="167"/>
      <c r="C48" s="168"/>
      <c r="D48" s="167"/>
      <c r="E48" s="167"/>
      <c r="F48" s="167"/>
      <c r="G48" s="164"/>
      <c r="H48" s="164"/>
      <c r="I48" s="165"/>
      <c r="J48" s="279"/>
      <c r="K48" s="279"/>
      <c r="L48" s="166"/>
    </row>
    <row r="49" spans="1:14" s="38" customFormat="1" ht="13.5" x14ac:dyDescent="0.25">
      <c r="A49" s="383" t="s">
        <v>23</v>
      </c>
      <c r="B49" s="383"/>
      <c r="C49" s="383"/>
      <c r="D49" s="383"/>
      <c r="E49" s="384" t="s">
        <v>24</v>
      </c>
      <c r="F49" s="384"/>
      <c r="G49" s="384"/>
      <c r="H49" s="384"/>
      <c r="I49" s="384"/>
      <c r="J49" s="169"/>
      <c r="K49" s="281" t="s">
        <v>25</v>
      </c>
      <c r="L49" s="281"/>
      <c r="M49" s="277"/>
      <c r="N49" s="277"/>
    </row>
    <row r="50" spans="1:14" s="29" customFormat="1" ht="13.5" x14ac:dyDescent="0.25">
      <c r="A50" s="280"/>
      <c r="B50" s="280"/>
      <c r="C50" s="172"/>
      <c r="D50" s="173"/>
      <c r="E50" s="174"/>
      <c r="F50" s="175"/>
      <c r="G50" s="175"/>
      <c r="H50" s="175"/>
      <c r="I50" s="176"/>
      <c r="J50" s="177"/>
      <c r="K50" s="178"/>
      <c r="L50" s="178"/>
      <c r="M50" s="33"/>
      <c r="N50" s="32"/>
    </row>
    <row r="51" spans="1:14" s="29" customFormat="1" ht="13.5" x14ac:dyDescent="0.25">
      <c r="A51" s="280"/>
      <c r="B51" s="280"/>
      <c r="C51" s="172"/>
      <c r="D51" s="173"/>
      <c r="E51" s="174"/>
      <c r="F51" s="175"/>
      <c r="G51" s="175"/>
      <c r="H51" s="175"/>
      <c r="I51" s="176"/>
      <c r="J51" s="177"/>
      <c r="K51" s="178"/>
      <c r="L51" s="178"/>
      <c r="M51" s="33"/>
      <c r="N51" s="32"/>
    </row>
    <row r="52" spans="1:14" s="29" customFormat="1" ht="26.25" customHeight="1" x14ac:dyDescent="0.25">
      <c r="A52" s="381" t="s">
        <v>98</v>
      </c>
      <c r="B52" s="381"/>
      <c r="C52" s="381"/>
      <c r="D52" s="381"/>
      <c r="E52" s="382" t="s">
        <v>100</v>
      </c>
      <c r="F52" s="382"/>
      <c r="G52" s="382"/>
      <c r="H52" s="382"/>
      <c r="I52" s="382"/>
      <c r="J52" s="180" t="s">
        <v>99</v>
      </c>
      <c r="K52" s="181"/>
      <c r="L52" s="181"/>
      <c r="M52" s="30"/>
      <c r="N52" s="30"/>
    </row>
    <row r="53" spans="1:14" s="23" customFormat="1" ht="15.75" customHeight="1" x14ac:dyDescent="0.3">
      <c r="A53" s="376" t="s">
        <v>66</v>
      </c>
      <c r="B53" s="376"/>
      <c r="C53" s="376"/>
      <c r="D53" s="376"/>
      <c r="E53" s="278"/>
      <c r="F53" s="377" t="s">
        <v>65</v>
      </c>
      <c r="G53" s="377"/>
      <c r="H53" s="377"/>
      <c r="I53" s="183"/>
      <c r="J53" s="377" t="s">
        <v>95</v>
      </c>
      <c r="K53" s="377"/>
      <c r="L53" s="377"/>
      <c r="M53" s="377"/>
    </row>
    <row r="54" spans="1:14" s="23" customFormat="1" ht="15.75" customHeight="1" x14ac:dyDescent="0.3">
      <c r="A54" s="184"/>
      <c r="B54" s="378" t="s">
        <v>107</v>
      </c>
      <c r="C54" s="378"/>
      <c r="D54" s="278"/>
      <c r="E54" s="279"/>
      <c r="F54" s="379" t="s">
        <v>111</v>
      </c>
      <c r="G54" s="379"/>
      <c r="H54" s="379"/>
      <c r="I54" s="379"/>
      <c r="J54" s="378" t="s">
        <v>110</v>
      </c>
      <c r="K54" s="378"/>
      <c r="L54" s="378"/>
      <c r="M54" s="378"/>
    </row>
    <row r="55" spans="1:14" ht="15.75" customHeight="1" x14ac:dyDescent="0.2">
      <c r="A55" s="5"/>
      <c r="B55" s="17"/>
      <c r="C55" s="17"/>
      <c r="D55" s="17"/>
      <c r="G55" s="17"/>
      <c r="H55" s="17"/>
      <c r="J55" s="17"/>
      <c r="K55" s="17"/>
      <c r="L55" s="17"/>
      <c r="M55" s="17"/>
    </row>
    <row r="56" spans="1:14" ht="15.75" customHeight="1" x14ac:dyDescent="0.2"/>
    <row r="57" spans="1:14" ht="15.75" customHeight="1" x14ac:dyDescent="0.2">
      <c r="A57" s="22" t="s">
        <v>64</v>
      </c>
    </row>
    <row r="58" spans="1:14" ht="15.75" customHeight="1" x14ac:dyDescent="0.2">
      <c r="A58" s="22"/>
    </row>
    <row r="59" spans="1:14" ht="15.75" customHeight="1" x14ac:dyDescent="0.2">
      <c r="A59" s="22"/>
    </row>
    <row r="60" spans="1:14" ht="15.75" customHeight="1" x14ac:dyDescent="0.25">
      <c r="A60" s="346" t="s">
        <v>0</v>
      </c>
      <c r="B60" s="346"/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</row>
    <row r="61" spans="1:14" ht="15.75" customHeight="1" x14ac:dyDescent="0.2">
      <c r="B61" s="21"/>
      <c r="C61" s="21"/>
      <c r="D61" s="21"/>
      <c r="E61" s="21"/>
      <c r="F61" s="21"/>
      <c r="G61" s="21"/>
      <c r="H61" s="21"/>
    </row>
    <row r="62" spans="1:14" s="19" customFormat="1" ht="15.75" customHeight="1" x14ac:dyDescent="0.25">
      <c r="A62" s="321" t="s">
        <v>63</v>
      </c>
      <c r="B62" s="321"/>
      <c r="C62" s="321"/>
      <c r="D62" s="272"/>
      <c r="E62" s="321" t="s">
        <v>62</v>
      </c>
      <c r="F62" s="321"/>
      <c r="G62" s="321"/>
      <c r="H62" s="321"/>
      <c r="I62" s="321"/>
      <c r="J62" s="321"/>
      <c r="K62" s="321"/>
      <c r="L62" s="321"/>
      <c r="M62" s="321"/>
      <c r="N62" s="321"/>
    </row>
    <row r="63" spans="1:14" ht="15.75" customHeight="1" x14ac:dyDescent="0.2">
      <c r="A63" s="17"/>
      <c r="B63" s="17"/>
      <c r="C63" s="18"/>
      <c r="D63" s="18"/>
      <c r="F63" s="17"/>
      <c r="G63" s="17"/>
      <c r="H63" s="17"/>
    </row>
    <row r="64" spans="1:14" ht="15.75" customHeight="1" x14ac:dyDescent="0.2">
      <c r="A64" s="16" t="s">
        <v>61</v>
      </c>
      <c r="B64" s="14"/>
      <c r="C64" s="14"/>
      <c r="D64" s="14"/>
      <c r="E64" s="347" t="s">
        <v>60</v>
      </c>
      <c r="F64" s="347"/>
      <c r="G64" s="347"/>
      <c r="H64" s="347"/>
      <c r="I64" s="347"/>
    </row>
    <row r="65" spans="1:14" ht="5.0999999999999996" customHeight="1" x14ac:dyDescent="0.2">
      <c r="A65" s="275"/>
      <c r="B65" s="275"/>
      <c r="C65" s="275"/>
      <c r="D65" s="275"/>
      <c r="E65" s="275"/>
      <c r="F65" s="10"/>
      <c r="G65" s="10"/>
    </row>
    <row r="66" spans="1:14" ht="15.75" customHeight="1" x14ac:dyDescent="0.25">
      <c r="A66" s="348" t="s">
        <v>59</v>
      </c>
      <c r="B66" s="348"/>
      <c r="C66" s="14"/>
      <c r="D66" s="14"/>
      <c r="E66" s="347" t="s">
        <v>58</v>
      </c>
      <c r="F66" s="347"/>
      <c r="G66" s="347"/>
      <c r="H66" s="347"/>
      <c r="I66" s="347"/>
      <c r="J66" s="13"/>
      <c r="K66" s="13"/>
      <c r="L66" s="13"/>
      <c r="M66" s="13"/>
      <c r="N66" s="13"/>
    </row>
    <row r="67" spans="1:14" ht="5.0999999999999996" customHeight="1" x14ac:dyDescent="0.2">
      <c r="A67" s="5"/>
      <c r="B67" s="5"/>
    </row>
    <row r="68" spans="1:14" ht="15.75" customHeight="1" x14ac:dyDescent="0.25">
      <c r="A68" s="3" t="s">
        <v>57</v>
      </c>
      <c r="B68" s="3"/>
      <c r="E68" s="2" t="s">
        <v>56</v>
      </c>
    </row>
    <row r="69" spans="1:14" ht="5.0999999999999996" customHeight="1" x14ac:dyDescent="0.2">
      <c r="A69" s="5"/>
      <c r="B69" s="5"/>
    </row>
    <row r="70" spans="1:14" ht="47.25" customHeight="1" x14ac:dyDescent="0.25">
      <c r="A70" s="11" t="s">
        <v>55</v>
      </c>
      <c r="B70" s="3"/>
      <c r="E70" s="349" t="s">
        <v>54</v>
      </c>
      <c r="F70" s="349"/>
      <c r="G70" s="349"/>
      <c r="H70" s="349"/>
      <c r="I70" s="349"/>
      <c r="J70" s="349"/>
      <c r="K70" s="349"/>
      <c r="L70" s="349"/>
      <c r="M70" s="349"/>
      <c r="N70" s="349"/>
    </row>
    <row r="71" spans="1:14" ht="5.0999999999999996" customHeight="1" x14ac:dyDescent="0.2">
      <c r="A71" s="5"/>
      <c r="B71" s="5"/>
      <c r="E71" s="12"/>
    </row>
    <row r="72" spans="1:14" ht="47.25" customHeight="1" x14ac:dyDescent="0.25">
      <c r="A72" s="11" t="s">
        <v>53</v>
      </c>
      <c r="B72" s="3"/>
      <c r="E72" s="350" t="s">
        <v>52</v>
      </c>
      <c r="F72" s="350"/>
      <c r="G72" s="350"/>
      <c r="H72" s="350"/>
      <c r="I72" s="350"/>
      <c r="J72" s="350"/>
      <c r="K72" s="350"/>
      <c r="L72" s="350"/>
      <c r="M72" s="350"/>
      <c r="N72" s="350"/>
    </row>
    <row r="73" spans="1:14" ht="5.0999999999999996" customHeight="1" x14ac:dyDescent="0.25">
      <c r="A73" s="5"/>
      <c r="B73" s="5"/>
      <c r="E73" s="2"/>
    </row>
    <row r="74" spans="1:14" ht="49.5" customHeight="1" x14ac:dyDescent="0.25">
      <c r="A74" s="11" t="s">
        <v>6</v>
      </c>
      <c r="B74" s="3"/>
      <c r="E74" s="351" t="s">
        <v>51</v>
      </c>
      <c r="F74" s="351"/>
      <c r="G74" s="351"/>
      <c r="H74" s="351"/>
      <c r="I74" s="351"/>
      <c r="J74" s="351"/>
      <c r="K74" s="351"/>
      <c r="L74" s="351"/>
      <c r="M74" s="351"/>
      <c r="N74" s="351"/>
    </row>
    <row r="75" spans="1:14" ht="5.0999999999999996" customHeight="1" x14ac:dyDescent="0.25">
      <c r="A75" s="5"/>
      <c r="B75" s="5"/>
      <c r="E75" s="2"/>
    </row>
    <row r="76" spans="1:14" ht="49.5" customHeight="1" x14ac:dyDescent="0.25">
      <c r="A76" s="11" t="s">
        <v>50</v>
      </c>
      <c r="B76" s="3"/>
      <c r="E76" s="351" t="s">
        <v>49</v>
      </c>
      <c r="F76" s="351"/>
      <c r="G76" s="351"/>
      <c r="H76" s="351"/>
      <c r="I76" s="351"/>
      <c r="J76" s="351"/>
      <c r="K76" s="351"/>
      <c r="L76" s="351"/>
      <c r="M76" s="351"/>
      <c r="N76" s="351"/>
    </row>
    <row r="77" spans="1:14" ht="5.0999999999999996" customHeight="1" x14ac:dyDescent="0.2">
      <c r="A77" s="10"/>
      <c r="B77" s="10"/>
    </row>
    <row r="78" spans="1:14" ht="30.75" customHeight="1" x14ac:dyDescent="0.25">
      <c r="A78" s="9" t="s">
        <v>8</v>
      </c>
      <c r="B78" s="3"/>
      <c r="E78" s="349" t="s">
        <v>48</v>
      </c>
      <c r="F78" s="352"/>
      <c r="G78" s="352"/>
      <c r="H78" s="352"/>
      <c r="I78" s="352"/>
      <c r="J78" s="352"/>
      <c r="K78" s="352"/>
      <c r="L78" s="352"/>
      <c r="M78" s="352"/>
      <c r="N78" s="352"/>
    </row>
    <row r="79" spans="1:14" ht="5.0999999999999996" customHeight="1" x14ac:dyDescent="0.2">
      <c r="A79" s="5"/>
      <c r="B79" s="5"/>
    </row>
    <row r="80" spans="1:14" ht="15.75" customHeight="1" x14ac:dyDescent="0.25">
      <c r="A80" s="3" t="s">
        <v>47</v>
      </c>
      <c r="B80" s="3"/>
      <c r="E80" s="2" t="s">
        <v>46</v>
      </c>
    </row>
    <row r="81" spans="1:14" ht="5.0999999999999996" customHeight="1" x14ac:dyDescent="0.2">
      <c r="A81" s="5"/>
      <c r="B81" s="5"/>
    </row>
    <row r="82" spans="1:14" ht="15.75" customHeight="1" x14ac:dyDescent="0.25">
      <c r="A82" s="8" t="s">
        <v>45</v>
      </c>
      <c r="B82" s="3"/>
      <c r="E82" s="7" t="s">
        <v>44</v>
      </c>
    </row>
    <row r="83" spans="1:14" ht="5.0999999999999996" customHeight="1" x14ac:dyDescent="0.2">
      <c r="A83" s="5"/>
      <c r="B83" s="5"/>
    </row>
    <row r="84" spans="1:14" ht="15.75" customHeight="1" x14ac:dyDescent="0.25">
      <c r="A84" s="3" t="s">
        <v>43</v>
      </c>
      <c r="B84" s="3"/>
      <c r="E84" s="2" t="s">
        <v>42</v>
      </c>
    </row>
    <row r="85" spans="1:14" ht="5.0999999999999996" customHeight="1" x14ac:dyDescent="0.2">
      <c r="A85" s="5"/>
      <c r="B85" s="5"/>
    </row>
    <row r="86" spans="1:14" ht="15.75" customHeight="1" x14ac:dyDescent="0.25">
      <c r="A86" s="3" t="s">
        <v>41</v>
      </c>
      <c r="B86" s="3"/>
      <c r="E86" s="2" t="s">
        <v>40</v>
      </c>
    </row>
    <row r="87" spans="1:14" ht="5.0999999999999996" customHeight="1" x14ac:dyDescent="0.25">
      <c r="A87" s="3"/>
      <c r="B87" s="3"/>
      <c r="E87" s="2"/>
    </row>
    <row r="88" spans="1:14" ht="15.75" customHeight="1" x14ac:dyDescent="0.25">
      <c r="A88" s="8" t="s">
        <v>39</v>
      </c>
      <c r="B88" s="3"/>
      <c r="E88" s="7" t="s">
        <v>38</v>
      </c>
    </row>
    <row r="89" spans="1:14" ht="5.0999999999999996" customHeight="1" x14ac:dyDescent="0.2">
      <c r="A89" s="5"/>
      <c r="B89" s="5"/>
    </row>
    <row r="90" spans="1:14" ht="37.5" customHeight="1" x14ac:dyDescent="0.25">
      <c r="A90" s="6" t="s">
        <v>37</v>
      </c>
      <c r="B90" s="3"/>
      <c r="E90" s="344" t="s">
        <v>36</v>
      </c>
      <c r="F90" s="345"/>
      <c r="G90" s="345"/>
      <c r="H90" s="345"/>
      <c r="I90" s="345"/>
      <c r="J90" s="345"/>
      <c r="K90" s="345"/>
      <c r="L90" s="345"/>
      <c r="M90" s="345"/>
      <c r="N90" s="345"/>
    </row>
    <row r="91" spans="1:14" ht="5.0999999999999996" customHeight="1" x14ac:dyDescent="0.2">
      <c r="A91" s="5"/>
      <c r="B91" s="5"/>
    </row>
    <row r="92" spans="1:14" ht="15.75" customHeight="1" x14ac:dyDescent="0.25">
      <c r="A92" s="3" t="s">
        <v>35</v>
      </c>
      <c r="B92" s="3"/>
      <c r="E92" s="2" t="s">
        <v>34</v>
      </c>
    </row>
    <row r="93" spans="1:14" ht="5.0999999999999996" customHeight="1" x14ac:dyDescent="0.2">
      <c r="A93" s="5"/>
      <c r="B93" s="5"/>
    </row>
    <row r="94" spans="1:14" ht="15.75" customHeight="1" x14ac:dyDescent="0.25">
      <c r="A94" s="3" t="s">
        <v>33</v>
      </c>
      <c r="B94" s="3"/>
      <c r="E94" s="2" t="s">
        <v>32</v>
      </c>
    </row>
    <row r="95" spans="1:14" ht="5.0999999999999996" customHeight="1" x14ac:dyDescent="0.2">
      <c r="A95" s="5"/>
      <c r="B95" s="5"/>
    </row>
    <row r="96" spans="1:14" ht="15.75" customHeight="1" x14ac:dyDescent="0.25">
      <c r="A96" s="3" t="s">
        <v>31</v>
      </c>
      <c r="B96" s="3"/>
      <c r="E96" s="2" t="s">
        <v>30</v>
      </c>
    </row>
    <row r="97" spans="1:5" ht="5.0999999999999996" customHeight="1" x14ac:dyDescent="0.2">
      <c r="A97" s="5"/>
      <c r="B97" s="5"/>
    </row>
    <row r="98" spans="1:5" ht="15.75" customHeight="1" x14ac:dyDescent="0.25">
      <c r="A98" s="3" t="s">
        <v>29</v>
      </c>
      <c r="B98" s="3"/>
      <c r="E98" s="2" t="s">
        <v>28</v>
      </c>
    </row>
    <row r="99" spans="1:5" ht="5.0999999999999996" customHeight="1" x14ac:dyDescent="0.2">
      <c r="A99" s="5"/>
      <c r="B99" s="5"/>
    </row>
    <row r="100" spans="1:5" ht="15.75" customHeight="1" x14ac:dyDescent="0.25">
      <c r="A100" s="4" t="s">
        <v>14</v>
      </c>
      <c r="B100" s="3"/>
      <c r="E100" s="2" t="s">
        <v>27</v>
      </c>
    </row>
  </sheetData>
  <mergeCells count="55">
    <mergeCell ref="C12:C13"/>
    <mergeCell ref="D12:D13"/>
    <mergeCell ref="E12:E13"/>
    <mergeCell ref="A4:N4"/>
    <mergeCell ref="A6:N6"/>
    <mergeCell ref="D7:I7"/>
    <mergeCell ref="C11:G11"/>
    <mergeCell ref="H11:K11"/>
    <mergeCell ref="B44:C44"/>
    <mergeCell ref="D44:F44"/>
    <mergeCell ref="G44:H44"/>
    <mergeCell ref="F12:F13"/>
    <mergeCell ref="G12:G13"/>
    <mergeCell ref="H12:H13"/>
    <mergeCell ref="A39:L41"/>
    <mergeCell ref="C42:I42"/>
    <mergeCell ref="B43:C43"/>
    <mergeCell ref="D43:F43"/>
    <mergeCell ref="G43:H43"/>
    <mergeCell ref="I12:I13"/>
    <mergeCell ref="J12:J13"/>
    <mergeCell ref="K12:K13"/>
    <mergeCell ref="A12:A13"/>
    <mergeCell ref="B12:B13"/>
    <mergeCell ref="A52:D52"/>
    <mergeCell ref="E52:I52"/>
    <mergeCell ref="B45:C45"/>
    <mergeCell ref="D45:F45"/>
    <mergeCell ref="G45:H45"/>
    <mergeCell ref="B46:C46"/>
    <mergeCell ref="D46:F46"/>
    <mergeCell ref="G46:H46"/>
    <mergeCell ref="B47:C47"/>
    <mergeCell ref="D47:F47"/>
    <mergeCell ref="G47:H47"/>
    <mergeCell ref="A49:D49"/>
    <mergeCell ref="E49:I49"/>
    <mergeCell ref="A53:D53"/>
    <mergeCell ref="F53:H53"/>
    <mergeCell ref="J53:M53"/>
    <mergeCell ref="B54:C54"/>
    <mergeCell ref="F54:I54"/>
    <mergeCell ref="J54:M54"/>
    <mergeCell ref="E90:N90"/>
    <mergeCell ref="A60:N60"/>
    <mergeCell ref="A62:C62"/>
    <mergeCell ref="E62:N62"/>
    <mergeCell ref="E64:I64"/>
    <mergeCell ref="A66:B66"/>
    <mergeCell ref="E66:I66"/>
    <mergeCell ref="E70:N70"/>
    <mergeCell ref="E72:N72"/>
    <mergeCell ref="E74:N74"/>
    <mergeCell ref="E76:N76"/>
    <mergeCell ref="E78:N78"/>
  </mergeCells>
  <pageMargins left="0.62992125984251968" right="0.62992125984251968" top="0.39370078740157483" bottom="0.23622047244094491" header="0" footer="0"/>
  <pageSetup scale="70" orientation="landscape" r:id="rId1"/>
  <headerFooter alignWithMargins="0">
    <oddFooter>&amp;R</oddFooter>
  </headerFooter>
  <rowBreaks count="1" manualBreakCount="1">
    <brk id="56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4:S100"/>
  <sheetViews>
    <sheetView showGridLines="0" topLeftCell="B19" zoomScale="130" zoomScaleNormal="130" zoomScaleSheetLayoutView="100" workbookViewId="0">
      <selection activeCell="L32" sqref="L32"/>
    </sheetView>
  </sheetViews>
  <sheetFormatPr baseColWidth="10" defaultRowHeight="12.75" x14ac:dyDescent="0.2"/>
  <cols>
    <col min="1" max="1" width="24.2851562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282"/>
      <c r="B7" s="282"/>
      <c r="C7" s="282"/>
      <c r="D7" s="321" t="s">
        <v>123</v>
      </c>
      <c r="E7" s="321"/>
      <c r="F7" s="321"/>
      <c r="G7" s="321"/>
      <c r="H7" s="321"/>
      <c r="I7" s="321"/>
      <c r="J7" s="282"/>
      <c r="K7" s="282"/>
      <c r="L7" s="282"/>
      <c r="M7" s="282"/>
      <c r="N7" s="282"/>
    </row>
    <row r="8" spans="1:14" ht="15.75" customHeight="1" x14ac:dyDescent="0.25">
      <c r="A8" s="85"/>
      <c r="B8" s="84"/>
      <c r="C8" s="84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</row>
    <row r="9" spans="1:14" ht="15.75" hidden="1" customHeight="1" x14ac:dyDescent="0.25">
      <c r="A9" s="85" t="s">
        <v>1</v>
      </c>
      <c r="B9" s="84"/>
      <c r="C9" s="84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282"/>
    </row>
    <row r="10" spans="1:14" ht="15.75" customHeight="1" x14ac:dyDescent="0.2">
      <c r="B10" s="5"/>
      <c r="C10" s="83"/>
      <c r="D10" s="5"/>
      <c r="E10" s="15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285"/>
      <c r="M12" s="285"/>
      <c r="N12" s="284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285"/>
      <c r="M13" s="285"/>
      <c r="N13" s="79" t="s">
        <v>15</v>
      </c>
    </row>
    <row r="14" spans="1:14" ht="15.75" customHeight="1" x14ac:dyDescent="0.25">
      <c r="A14" s="77" t="s">
        <v>81</v>
      </c>
      <c r="B14" s="78"/>
      <c r="C14" s="73">
        <v>5276760.09</v>
      </c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73"/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73">
        <v>4964941.08</v>
      </c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73">
        <v>2059737.42</v>
      </c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73"/>
      <c r="D18" s="58"/>
      <c r="F18" s="60"/>
      <c r="G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>
        <v>13131151.18</v>
      </c>
      <c r="C19" s="73">
        <f>SUM(C14:C18)</f>
        <v>12301438.59</v>
      </c>
      <c r="D19" s="58"/>
      <c r="E19" s="58">
        <v>11195587.449999999</v>
      </c>
      <c r="F19" s="271">
        <v>0</v>
      </c>
      <c r="G19" s="56">
        <f>+C19+D19-E19</f>
        <v>1105851.1400000006</v>
      </c>
      <c r="H19" s="56">
        <f>417857.2+703640.95</f>
        <v>1121498.1499999999</v>
      </c>
      <c r="I19" s="56">
        <v>3546.42</v>
      </c>
      <c r="J19" s="56">
        <f>0.04+9937+143+2520.67+5385.3+623+584.06+29.09</f>
        <v>19222.160000000003</v>
      </c>
      <c r="K19" s="56">
        <f>+H19+I19-J19</f>
        <v>1105822.4099999999</v>
      </c>
      <c r="L19" s="73">
        <f>+G19-K19</f>
        <v>28.730000000679865</v>
      </c>
      <c r="M19" s="73">
        <f t="shared" ref="M19:M34" si="0">G19-K19</f>
        <v>28.730000000679865</v>
      </c>
      <c r="N19" s="72">
        <f t="shared" ref="N19:N29" si="1">E19/B19</f>
        <v>0.85259755953856897</v>
      </c>
      <c r="O19" s="68"/>
    </row>
    <row r="20" spans="1:19" ht="15.75" customHeight="1" x14ac:dyDescent="0.25">
      <c r="A20" s="62" t="s">
        <v>75</v>
      </c>
      <c r="B20" s="61">
        <v>16873510</v>
      </c>
      <c r="C20" s="61">
        <v>12144350.84</v>
      </c>
      <c r="D20" s="58"/>
      <c r="E20" s="58">
        <v>11350646.5</v>
      </c>
      <c r="F20" s="60">
        <f t="shared" ref="F20:F30" si="2">E20/C20</f>
        <v>0.93464415262232325</v>
      </c>
      <c r="G20" s="56">
        <f t="shared" ref="G20:G33" si="3">+C20+D20-E20</f>
        <v>793704.33999999985</v>
      </c>
      <c r="H20" s="56">
        <v>920358.34</v>
      </c>
      <c r="I20" s="56">
        <v>0</v>
      </c>
      <c r="J20" s="56">
        <f>126654</f>
        <v>126654</v>
      </c>
      <c r="K20" s="56">
        <f t="shared" ref="K20:K34" si="4">+H20+I20-J20</f>
        <v>793704.34</v>
      </c>
      <c r="L20" s="73">
        <f t="shared" ref="L20:L34" si="5">+G20-K20</f>
        <v>0</v>
      </c>
      <c r="M20" s="73">
        <f t="shared" si="0"/>
        <v>0</v>
      </c>
      <c r="N20" s="60">
        <f t="shared" si="1"/>
        <v>0.67269029976572747</v>
      </c>
      <c r="O20" s="70"/>
      <c r="P20" s="71"/>
      <c r="Q20" s="48"/>
    </row>
    <row r="21" spans="1:19" ht="15.75" customHeight="1" x14ac:dyDescent="0.25">
      <c r="A21" s="62" t="s">
        <v>74</v>
      </c>
      <c r="B21" s="61">
        <v>7436006</v>
      </c>
      <c r="C21" s="61">
        <v>6778810.9900000002</v>
      </c>
      <c r="D21" s="58"/>
      <c r="E21" s="58">
        <v>6124584.5300000003</v>
      </c>
      <c r="F21" s="60">
        <f t="shared" si="2"/>
        <v>0.90348949676202728</v>
      </c>
      <c r="G21" s="56">
        <f t="shared" si="3"/>
        <v>654226.46</v>
      </c>
      <c r="H21" s="56">
        <v>654226.46</v>
      </c>
      <c r="I21" s="56">
        <v>0</v>
      </c>
      <c r="J21" s="56">
        <v>0</v>
      </c>
      <c r="K21" s="56">
        <f t="shared" si="4"/>
        <v>654226.46</v>
      </c>
      <c r="L21" s="73">
        <f t="shared" si="5"/>
        <v>0</v>
      </c>
      <c r="M21" s="73">
        <f t="shared" si="0"/>
        <v>0</v>
      </c>
      <c r="N21" s="60">
        <f t="shared" si="1"/>
        <v>0.82363899787063111</v>
      </c>
      <c r="O21" s="70"/>
      <c r="P21" s="69"/>
      <c r="Q21" s="45"/>
    </row>
    <row r="22" spans="1:19" ht="15.75" customHeight="1" x14ac:dyDescent="0.25">
      <c r="A22" s="62" t="s">
        <v>73</v>
      </c>
      <c r="B22" s="61">
        <v>281545</v>
      </c>
      <c r="C22" s="63">
        <v>246663.04000000001</v>
      </c>
      <c r="D22" s="104"/>
      <c r="E22" s="58">
        <v>220505.1</v>
      </c>
      <c r="F22" s="60">
        <f>E22/C22</f>
        <v>0.89395273811593334</v>
      </c>
      <c r="G22" s="56">
        <f>+C22+D22-E22</f>
        <v>26157.940000000002</v>
      </c>
      <c r="H22" s="56">
        <v>26157.94</v>
      </c>
      <c r="I22" s="56">
        <v>0</v>
      </c>
      <c r="J22" s="56">
        <v>0</v>
      </c>
      <c r="K22" s="56">
        <f t="shared" si="4"/>
        <v>26157.94</v>
      </c>
      <c r="L22" s="73">
        <f t="shared" si="5"/>
        <v>0</v>
      </c>
      <c r="M22" s="73">
        <f t="shared" si="0"/>
        <v>0</v>
      </c>
      <c r="N22" s="60">
        <f t="shared" si="1"/>
        <v>0.78319664707240411</v>
      </c>
      <c r="O22" s="68"/>
    </row>
    <row r="23" spans="1:19" ht="15.75" customHeight="1" x14ac:dyDescent="0.25">
      <c r="A23" s="62" t="s">
        <v>86</v>
      </c>
      <c r="B23" s="61">
        <v>824025</v>
      </c>
      <c r="C23" s="61">
        <v>758396.41</v>
      </c>
      <c r="D23" s="58"/>
      <c r="E23" s="58">
        <v>718813.99</v>
      </c>
      <c r="F23" s="60">
        <f t="shared" ref="F23:F25" si="6">E23/C23</f>
        <v>0.94780774344646479</v>
      </c>
      <c r="G23" s="56">
        <f>+C23+D23-E23</f>
        <v>39582.420000000042</v>
      </c>
      <c r="H23" s="56">
        <v>39582.42</v>
      </c>
      <c r="I23" s="56">
        <v>0</v>
      </c>
      <c r="J23" s="56">
        <v>0</v>
      </c>
      <c r="K23" s="56">
        <f t="shared" si="4"/>
        <v>39582.42</v>
      </c>
      <c r="L23" s="73">
        <f t="shared" si="5"/>
        <v>0</v>
      </c>
      <c r="M23" s="73">
        <f t="shared" si="0"/>
        <v>0</v>
      </c>
      <c r="N23" s="60">
        <f t="shared" si="1"/>
        <v>0.8723206092048178</v>
      </c>
    </row>
    <row r="24" spans="1:19" ht="15.75" customHeight="1" x14ac:dyDescent="0.25">
      <c r="A24" s="62" t="s">
        <v>72</v>
      </c>
      <c r="B24" s="61">
        <v>600184</v>
      </c>
      <c r="C24" s="61">
        <v>383538.44</v>
      </c>
      <c r="D24" s="58"/>
      <c r="E24" s="58">
        <v>387084.86</v>
      </c>
      <c r="F24" s="60">
        <f t="shared" si="6"/>
        <v>1.0092465829500687</v>
      </c>
      <c r="G24" s="56">
        <f t="shared" si="3"/>
        <v>-3546.4199999999837</v>
      </c>
      <c r="H24" s="56">
        <v>0</v>
      </c>
      <c r="I24" s="56">
        <v>0</v>
      </c>
      <c r="J24" s="56">
        <v>3546.42</v>
      </c>
      <c r="K24" s="56">
        <f t="shared" si="4"/>
        <v>-3546.42</v>
      </c>
      <c r="L24" s="73">
        <f t="shared" si="5"/>
        <v>1.6370904631912708E-11</v>
      </c>
      <c r="M24" s="73">
        <f t="shared" si="0"/>
        <v>1.6370904631912708E-11</v>
      </c>
      <c r="N24" s="60">
        <f t="shared" si="1"/>
        <v>0.64494365061381176</v>
      </c>
    </row>
    <row r="25" spans="1:19" ht="15.75" customHeight="1" x14ac:dyDescent="0.25">
      <c r="A25" s="62" t="s">
        <v>93</v>
      </c>
      <c r="B25" s="61">
        <v>11851740</v>
      </c>
      <c r="C25" s="63">
        <v>10864424.039999999</v>
      </c>
      <c r="D25" s="104"/>
      <c r="E25" s="104">
        <v>9999831.2200000007</v>
      </c>
      <c r="F25" s="60">
        <f t="shared" si="6"/>
        <v>0.92041982006438705</v>
      </c>
      <c r="G25" s="56">
        <f>+C25+D25-E25</f>
        <v>864592.81999999844</v>
      </c>
      <c r="H25" s="67">
        <v>912867.82</v>
      </c>
      <c r="I25" s="67">
        <v>0</v>
      </c>
      <c r="J25" s="67">
        <f>45827+2448</f>
        <v>48275</v>
      </c>
      <c r="K25" s="56">
        <f t="shared" si="4"/>
        <v>864592.82</v>
      </c>
      <c r="L25" s="73">
        <f t="shared" si="5"/>
        <v>-1.5133991837501526E-9</v>
      </c>
      <c r="M25" s="73">
        <f t="shared" si="0"/>
        <v>-1.5133991837501526E-9</v>
      </c>
      <c r="N25" s="66">
        <f t="shared" si="1"/>
        <v>0.8437437220188766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91</v>
      </c>
      <c r="B26" s="61">
        <v>3479677</v>
      </c>
      <c r="C26" s="61">
        <v>3480666.19</v>
      </c>
      <c r="D26" s="104"/>
      <c r="E26" s="58">
        <v>3021228.99</v>
      </c>
      <c r="F26" s="66">
        <f>E26/H26</f>
        <v>6.0843177208604571</v>
      </c>
      <c r="G26" s="56">
        <f>+C26+D26-E26</f>
        <v>459437.19999999972</v>
      </c>
      <c r="H26" s="58">
        <v>496560.03</v>
      </c>
      <c r="I26" s="56">
        <v>0</v>
      </c>
      <c r="J26" s="56">
        <f>12374.27+24748.56</f>
        <v>37122.83</v>
      </c>
      <c r="K26" s="56">
        <f t="shared" si="4"/>
        <v>459437.2</v>
      </c>
      <c r="L26" s="73">
        <f t="shared" si="5"/>
        <v>0</v>
      </c>
      <c r="M26" s="73">
        <f t="shared" si="0"/>
        <v>0</v>
      </c>
      <c r="N26" s="60">
        <f t="shared" si="1"/>
        <v>0.86824983755676177</v>
      </c>
      <c r="O26" s="64"/>
    </row>
    <row r="27" spans="1:19" ht="15.75" customHeight="1" x14ac:dyDescent="0.25">
      <c r="A27" s="62" t="s">
        <v>90</v>
      </c>
      <c r="B27" s="61"/>
      <c r="C27" s="58">
        <v>0</v>
      </c>
      <c r="D27" s="104"/>
      <c r="E27" s="58">
        <v>0</v>
      </c>
      <c r="F27" s="66">
        <v>0</v>
      </c>
      <c r="G27" s="67">
        <f>+C27+D27-E27</f>
        <v>0</v>
      </c>
      <c r="H27" s="56">
        <v>0</v>
      </c>
      <c r="I27" s="56">
        <v>0</v>
      </c>
      <c r="J27" s="56">
        <v>0</v>
      </c>
      <c r="K27" s="56">
        <f t="shared" si="4"/>
        <v>0</v>
      </c>
      <c r="L27" s="73">
        <f t="shared" si="5"/>
        <v>0</v>
      </c>
      <c r="M27" s="73">
        <f t="shared" si="0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63">
        <v>99465</v>
      </c>
      <c r="C28" s="61">
        <v>161971.63</v>
      </c>
      <c r="D28" s="58"/>
      <c r="E28" s="58">
        <v>140902.06</v>
      </c>
      <c r="F28" s="60">
        <f t="shared" si="2"/>
        <v>0.86991814554190749</v>
      </c>
      <c r="G28" s="67">
        <f>+C28+D28-E28</f>
        <v>21069.570000000007</v>
      </c>
      <c r="H28" s="56">
        <v>21069.57</v>
      </c>
      <c r="I28" s="56">
        <v>0</v>
      </c>
      <c r="J28" s="56">
        <v>0</v>
      </c>
      <c r="K28" s="56">
        <f t="shared" si="4"/>
        <v>21069.57</v>
      </c>
      <c r="L28" s="73">
        <f t="shared" si="5"/>
        <v>0</v>
      </c>
      <c r="M28" s="73">
        <f t="shared" si="0"/>
        <v>0</v>
      </c>
      <c r="N28" s="60">
        <f t="shared" si="1"/>
        <v>1.416599406826522</v>
      </c>
    </row>
    <row r="29" spans="1:19" ht="15.75" customHeight="1" x14ac:dyDescent="0.25">
      <c r="A29" s="62" t="s">
        <v>69</v>
      </c>
      <c r="B29" s="61">
        <v>29793</v>
      </c>
      <c r="C29" s="61">
        <v>27316.67</v>
      </c>
      <c r="D29" s="58"/>
      <c r="E29" s="58">
        <v>22071.24</v>
      </c>
      <c r="F29" s="60">
        <f t="shared" si="2"/>
        <v>0.80797696058853452</v>
      </c>
      <c r="G29" s="56">
        <f t="shared" si="3"/>
        <v>5245.4299999999967</v>
      </c>
      <c r="H29" s="56">
        <v>5245.43</v>
      </c>
      <c r="I29" s="56">
        <v>0</v>
      </c>
      <c r="J29" s="56">
        <v>0</v>
      </c>
      <c r="K29" s="56">
        <f t="shared" si="4"/>
        <v>5245.43</v>
      </c>
      <c r="L29" s="73">
        <f t="shared" si="5"/>
        <v>0</v>
      </c>
      <c r="M29" s="73">
        <f t="shared" si="0"/>
        <v>0</v>
      </c>
      <c r="N29" s="60">
        <f t="shared" si="1"/>
        <v>0.74081965562380425</v>
      </c>
    </row>
    <row r="30" spans="1:19" ht="15.75" customHeight="1" x14ac:dyDescent="0.25">
      <c r="A30" s="62" t="s">
        <v>26</v>
      </c>
      <c r="B30" s="61">
        <v>68757.710000000006</v>
      </c>
      <c r="C30" s="112">
        <v>208461.54</v>
      </c>
      <c r="D30" s="58"/>
      <c r="E30" s="58">
        <v>206449.54</v>
      </c>
      <c r="F30" s="60">
        <f t="shared" si="2"/>
        <v>0.99034833955462476</v>
      </c>
      <c r="G30" s="56">
        <f>+C30+D30-E30</f>
        <v>2012</v>
      </c>
      <c r="H30" s="56">
        <v>2012</v>
      </c>
      <c r="I30" s="56">
        <v>0</v>
      </c>
      <c r="J30" s="56">
        <v>0</v>
      </c>
      <c r="K30" s="56">
        <f t="shared" si="4"/>
        <v>2012</v>
      </c>
      <c r="L30" s="73">
        <f t="shared" si="5"/>
        <v>0</v>
      </c>
      <c r="M30" s="73">
        <f t="shared" si="0"/>
        <v>0</v>
      </c>
      <c r="N30" s="60">
        <v>0</v>
      </c>
    </row>
    <row r="31" spans="1:19" ht="15.75" customHeight="1" x14ac:dyDescent="0.25">
      <c r="A31" s="62" t="s">
        <v>85</v>
      </c>
      <c r="B31" s="61"/>
      <c r="C31" s="61">
        <v>0</v>
      </c>
      <c r="D31" s="58"/>
      <c r="E31" s="58">
        <v>0</v>
      </c>
      <c r="F31" s="60">
        <v>0</v>
      </c>
      <c r="G31" s="56">
        <f t="shared" si="3"/>
        <v>0</v>
      </c>
      <c r="H31" s="56">
        <v>0</v>
      </c>
      <c r="I31" s="56">
        <v>0</v>
      </c>
      <c r="J31" s="56">
        <v>0</v>
      </c>
      <c r="K31" s="56">
        <f t="shared" si="4"/>
        <v>0</v>
      </c>
      <c r="L31" s="73">
        <f t="shared" si="5"/>
        <v>0</v>
      </c>
      <c r="M31" s="73">
        <f t="shared" si="0"/>
        <v>0</v>
      </c>
      <c r="N31" s="60">
        <v>0</v>
      </c>
    </row>
    <row r="32" spans="1:19" ht="15.75" customHeight="1" x14ac:dyDescent="0.25">
      <c r="A32" s="62" t="s">
        <v>84</v>
      </c>
      <c r="B32" s="61">
        <v>2885500</v>
      </c>
      <c r="C32" s="61">
        <v>2512335.2799999998</v>
      </c>
      <c r="D32" s="58"/>
      <c r="E32" s="58">
        <v>2433505.5299999998</v>
      </c>
      <c r="F32" s="60"/>
      <c r="G32" s="56">
        <f t="shared" si="3"/>
        <v>78829.75</v>
      </c>
      <c r="H32" s="56">
        <f>78359.74+0.01+470</f>
        <v>78829.75</v>
      </c>
      <c r="I32" s="56">
        <v>0</v>
      </c>
      <c r="J32" s="56">
        <v>0</v>
      </c>
      <c r="K32" s="56">
        <f t="shared" si="4"/>
        <v>78829.75</v>
      </c>
      <c r="L32" s="73">
        <f t="shared" si="5"/>
        <v>0</v>
      </c>
      <c r="M32" s="73">
        <f t="shared" si="0"/>
        <v>0</v>
      </c>
      <c r="N32" s="60">
        <v>0</v>
      </c>
    </row>
    <row r="33" spans="1:18" ht="15.75" customHeight="1" x14ac:dyDescent="0.25">
      <c r="A33" s="62" t="s">
        <v>114</v>
      </c>
      <c r="B33" s="61">
        <v>200000</v>
      </c>
      <c r="C33" s="61">
        <v>200000</v>
      </c>
      <c r="D33" s="58"/>
      <c r="E33" s="58">
        <v>200000</v>
      </c>
      <c r="F33" s="60"/>
      <c r="G33" s="56">
        <f t="shared" si="3"/>
        <v>0</v>
      </c>
      <c r="H33" s="56">
        <v>28.73</v>
      </c>
      <c r="I33" s="56">
        <v>0</v>
      </c>
      <c r="J33" s="56">
        <v>0</v>
      </c>
      <c r="K33" s="56">
        <f t="shared" si="4"/>
        <v>28.73</v>
      </c>
      <c r="L33" s="73">
        <f t="shared" si="5"/>
        <v>-28.73</v>
      </c>
      <c r="M33" s="73">
        <f t="shared" si="0"/>
        <v>-28.73</v>
      </c>
      <c r="N33" s="60">
        <v>0</v>
      </c>
    </row>
    <row r="34" spans="1:18" ht="15.75" customHeight="1" x14ac:dyDescent="0.25">
      <c r="A34" s="107" t="s">
        <v>92</v>
      </c>
      <c r="B34" s="268"/>
      <c r="C34" s="268"/>
      <c r="D34" s="268"/>
      <c r="E34" s="268">
        <v>0</v>
      </c>
      <c r="F34" s="269">
        <v>0</v>
      </c>
      <c r="G34" s="270">
        <f t="shared" ref="G34" si="7">C34-E34</f>
        <v>0</v>
      </c>
      <c r="H34" s="270">
        <v>173.01</v>
      </c>
      <c r="I34" s="270">
        <v>103243.35</v>
      </c>
      <c r="J34" s="270">
        <f>103243.35+173.01</f>
        <v>103416.36</v>
      </c>
      <c r="K34" s="56">
        <f t="shared" si="4"/>
        <v>0</v>
      </c>
      <c r="L34" s="73">
        <f t="shared" si="5"/>
        <v>0</v>
      </c>
      <c r="M34" s="73">
        <f t="shared" si="0"/>
        <v>0</v>
      </c>
      <c r="N34" s="60">
        <v>0</v>
      </c>
    </row>
    <row r="35" spans="1:18" ht="15.75" customHeight="1" x14ac:dyDescent="0.25">
      <c r="A35" s="59" t="s">
        <v>68</v>
      </c>
      <c r="B35" s="58">
        <f>SUM(B19:B33)</f>
        <v>57761353.890000001</v>
      </c>
      <c r="C35" s="58">
        <f>SUM(C19:C34)</f>
        <v>50068373.660000004</v>
      </c>
      <c r="D35" s="58">
        <f>SUM(D19:D34)</f>
        <v>0</v>
      </c>
      <c r="E35" s="58">
        <f>SUM(E19:E34)</f>
        <v>46021211.010000005</v>
      </c>
      <c r="F35" s="57"/>
      <c r="G35" s="56">
        <f t="shared" ref="G35:I35" si="8">SUM(G19:G34)</f>
        <v>4047162.6499999985</v>
      </c>
      <c r="H35" s="56">
        <f t="shared" si="8"/>
        <v>4278609.6499999994</v>
      </c>
      <c r="I35" s="56">
        <f t="shared" si="8"/>
        <v>106789.77</v>
      </c>
      <c r="J35" s="56">
        <f>SUM(J19:J34)</f>
        <v>338236.77</v>
      </c>
      <c r="K35" s="56">
        <f>SUM(K19:K34)</f>
        <v>4047162.65</v>
      </c>
      <c r="L35" s="56">
        <f>SUM(L19:L34)</f>
        <v>-8.1716322597458202E-10</v>
      </c>
      <c r="M35" s="56">
        <f>SUM(M19:M34)</f>
        <v>-8.1716322597458202E-10</v>
      </c>
      <c r="N35" s="60">
        <v>0</v>
      </c>
    </row>
    <row r="36" spans="1:18" ht="15.75" customHeight="1" x14ac:dyDescent="0.25">
      <c r="A36" s="153"/>
      <c r="B36" s="154"/>
      <c r="C36" s="154"/>
      <c r="D36" s="154"/>
      <c r="E36" s="154"/>
      <c r="F36" s="155"/>
      <c r="G36" s="55"/>
      <c r="H36" s="55"/>
      <c r="I36" s="55"/>
      <c r="J36" s="55"/>
      <c r="K36" s="55"/>
      <c r="L36" s="55"/>
      <c r="M36" s="55"/>
      <c r="N36" s="55"/>
    </row>
    <row r="37" spans="1:18" ht="15.75" customHeight="1" x14ac:dyDescent="0.25">
      <c r="A37" s="153"/>
      <c r="B37" s="154"/>
      <c r="C37" s="154"/>
      <c r="D37" s="154"/>
      <c r="E37" s="154"/>
      <c r="F37" s="155"/>
      <c r="G37" s="55"/>
      <c r="H37" s="55"/>
      <c r="I37" s="55"/>
      <c r="J37" s="55"/>
      <c r="K37" s="55"/>
      <c r="L37" s="55"/>
      <c r="M37" s="55"/>
      <c r="N37" s="55"/>
    </row>
    <row r="38" spans="1:18" ht="15.75" customHeight="1" x14ac:dyDescent="0.25">
      <c r="A38" s="153"/>
      <c r="B38" s="154"/>
      <c r="C38" s="154"/>
      <c r="D38" s="154"/>
      <c r="E38" s="154"/>
      <c r="F38" s="155"/>
      <c r="G38" s="55"/>
      <c r="H38" s="55"/>
      <c r="I38" s="55"/>
      <c r="J38" s="55"/>
      <c r="K38" s="55"/>
      <c r="L38" s="55"/>
      <c r="M38" s="55"/>
      <c r="N38" s="55"/>
    </row>
    <row r="39" spans="1:18" ht="15.75" customHeight="1" x14ac:dyDescent="0.25">
      <c r="A39" s="353" t="s">
        <v>97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55"/>
      <c r="N39" s="54"/>
    </row>
    <row r="40" spans="1:18" ht="15.75" customHeight="1" x14ac:dyDescent="0.25">
      <c r="A40" s="353"/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55"/>
      <c r="N40" s="54"/>
    </row>
    <row r="41" spans="1:18" ht="24.75" customHeight="1" x14ac:dyDescent="0.25">
      <c r="A41" s="353"/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55"/>
      <c r="N41" s="54"/>
    </row>
    <row r="42" spans="1:18" ht="15.75" customHeight="1" x14ac:dyDescent="0.2">
      <c r="C42" s="374"/>
      <c r="D42" s="374"/>
      <c r="E42" s="374"/>
      <c r="F42" s="374"/>
      <c r="G42" s="374"/>
      <c r="H42" s="374"/>
      <c r="I42" s="374"/>
      <c r="J42" s="52"/>
      <c r="K42" s="53"/>
      <c r="L42" s="52"/>
      <c r="M42" s="53"/>
      <c r="N42" s="52"/>
      <c r="O42" s="52"/>
      <c r="P42" s="52"/>
      <c r="Q42" s="52"/>
      <c r="R42" s="52"/>
    </row>
    <row r="43" spans="1:18" ht="15.75" hidden="1" customHeight="1" x14ac:dyDescent="0.25">
      <c r="B43" s="354" t="s">
        <v>16</v>
      </c>
      <c r="C43" s="354"/>
      <c r="D43" s="355" t="s">
        <v>17</v>
      </c>
      <c r="E43" s="356"/>
      <c r="F43" s="357"/>
      <c r="G43" s="358" t="s">
        <v>18</v>
      </c>
      <c r="H43" s="358"/>
      <c r="I43" s="286" t="s">
        <v>8</v>
      </c>
      <c r="J43" s="48"/>
      <c r="K43" s="48"/>
      <c r="M43" s="48"/>
    </row>
    <row r="44" spans="1:18" ht="15.75" hidden="1" customHeight="1" x14ac:dyDescent="0.25">
      <c r="B44" s="359" t="s">
        <v>19</v>
      </c>
      <c r="C44" s="359"/>
      <c r="D44" s="355"/>
      <c r="E44" s="356"/>
      <c r="F44" s="357"/>
      <c r="G44" s="360"/>
      <c r="H44" s="360"/>
      <c r="I44" s="44"/>
      <c r="J44" s="48"/>
      <c r="K44" s="45"/>
      <c r="M44" s="47"/>
    </row>
    <row r="45" spans="1:18" ht="15.75" hidden="1" customHeight="1" x14ac:dyDescent="0.25">
      <c r="B45" s="358" t="s">
        <v>20</v>
      </c>
      <c r="C45" s="358"/>
      <c r="D45" s="361"/>
      <c r="E45" s="362"/>
      <c r="F45" s="363"/>
      <c r="G45" s="364"/>
      <c r="H45" s="364"/>
      <c r="I45" s="44" t="e">
        <f>G45/D45</f>
        <v>#DIV/0!</v>
      </c>
      <c r="J45" s="48"/>
      <c r="K45" s="47"/>
    </row>
    <row r="46" spans="1:18" ht="15.75" hidden="1" customHeight="1" x14ac:dyDescent="0.25">
      <c r="B46" s="358" t="s">
        <v>21</v>
      </c>
      <c r="C46" s="358"/>
      <c r="D46" s="361"/>
      <c r="E46" s="362"/>
      <c r="F46" s="363"/>
      <c r="G46" s="364"/>
      <c r="H46" s="364"/>
      <c r="I46" s="44" t="e">
        <f>G46/D46</f>
        <v>#DIV/0!</v>
      </c>
      <c r="J46" s="46"/>
      <c r="K46" s="45"/>
    </row>
    <row r="47" spans="1:18" ht="15.75" hidden="1" customHeight="1" x14ac:dyDescent="0.25">
      <c r="B47" s="358" t="s">
        <v>22</v>
      </c>
      <c r="C47" s="358"/>
      <c r="D47" s="361"/>
      <c r="E47" s="362"/>
      <c r="F47" s="363"/>
      <c r="G47" s="364"/>
      <c r="H47" s="364"/>
      <c r="I47" s="44" t="e">
        <f>G47/D47</f>
        <v>#DIV/0!</v>
      </c>
    </row>
    <row r="48" spans="1:18" ht="15.75" customHeight="1" x14ac:dyDescent="0.2">
      <c r="A48" s="291"/>
      <c r="B48" s="167"/>
      <c r="C48" s="168"/>
      <c r="D48" s="167"/>
      <c r="E48" s="167"/>
      <c r="F48" s="167"/>
      <c r="G48" s="164"/>
      <c r="H48" s="164"/>
      <c r="I48" s="165"/>
      <c r="J48" s="291"/>
      <c r="K48" s="291"/>
      <c r="L48" s="166"/>
    </row>
    <row r="49" spans="1:14" s="38" customFormat="1" ht="13.5" x14ac:dyDescent="0.25">
      <c r="A49" s="383" t="s">
        <v>23</v>
      </c>
      <c r="B49" s="383"/>
      <c r="C49" s="383"/>
      <c r="D49" s="383"/>
      <c r="E49" s="384" t="s">
        <v>24</v>
      </c>
      <c r="F49" s="384"/>
      <c r="G49" s="384"/>
      <c r="H49" s="384"/>
      <c r="I49" s="384"/>
      <c r="J49" s="169"/>
      <c r="K49" s="289" t="s">
        <v>25</v>
      </c>
      <c r="L49" s="289"/>
      <c r="M49" s="287"/>
      <c r="N49" s="287"/>
    </row>
    <row r="50" spans="1:14" s="29" customFormat="1" ht="13.5" x14ac:dyDescent="0.25">
      <c r="A50" s="288"/>
      <c r="B50" s="288"/>
      <c r="C50" s="172"/>
      <c r="D50" s="173"/>
      <c r="E50" s="174"/>
      <c r="F50" s="175"/>
      <c r="G50" s="175"/>
      <c r="H50" s="175"/>
      <c r="I50" s="176"/>
      <c r="J50" s="177"/>
      <c r="K50" s="178"/>
      <c r="L50" s="178"/>
      <c r="M50" s="33"/>
      <c r="N50" s="32"/>
    </row>
    <row r="51" spans="1:14" s="29" customFormat="1" ht="13.5" x14ac:dyDescent="0.25">
      <c r="A51" s="288"/>
      <c r="B51" s="288"/>
      <c r="C51" s="172"/>
      <c r="D51" s="173"/>
      <c r="E51" s="174"/>
      <c r="F51" s="175"/>
      <c r="G51" s="175"/>
      <c r="H51" s="175"/>
      <c r="I51" s="176"/>
      <c r="J51" s="177"/>
      <c r="K51" s="178"/>
      <c r="L51" s="178"/>
      <c r="M51" s="33"/>
      <c r="N51" s="32"/>
    </row>
    <row r="52" spans="1:14" s="29" customFormat="1" ht="26.25" customHeight="1" x14ac:dyDescent="0.25">
      <c r="A52" s="381" t="s">
        <v>98</v>
      </c>
      <c r="B52" s="381"/>
      <c r="C52" s="381"/>
      <c r="D52" s="381"/>
      <c r="E52" s="382" t="s">
        <v>100</v>
      </c>
      <c r="F52" s="382"/>
      <c r="G52" s="382"/>
      <c r="H52" s="382"/>
      <c r="I52" s="382"/>
      <c r="J52" s="180" t="s">
        <v>99</v>
      </c>
      <c r="K52" s="181"/>
      <c r="L52" s="181"/>
      <c r="M52" s="30"/>
      <c r="N52" s="30"/>
    </row>
    <row r="53" spans="1:14" s="23" customFormat="1" ht="15.75" customHeight="1" x14ac:dyDescent="0.3">
      <c r="A53" s="376" t="s">
        <v>66</v>
      </c>
      <c r="B53" s="376"/>
      <c r="C53" s="376"/>
      <c r="D53" s="376"/>
      <c r="E53" s="290"/>
      <c r="F53" s="377" t="s">
        <v>65</v>
      </c>
      <c r="G53" s="377"/>
      <c r="H53" s="377"/>
      <c r="I53" s="183"/>
      <c r="J53" s="377" t="s">
        <v>95</v>
      </c>
      <c r="K53" s="377"/>
      <c r="L53" s="377"/>
      <c r="M53" s="377"/>
    </row>
    <row r="54" spans="1:14" s="23" customFormat="1" ht="15.75" customHeight="1" x14ac:dyDescent="0.3">
      <c r="A54" s="184"/>
      <c r="B54" s="378" t="s">
        <v>107</v>
      </c>
      <c r="C54" s="378"/>
      <c r="D54" s="290"/>
      <c r="E54" s="291"/>
      <c r="F54" s="379" t="s">
        <v>111</v>
      </c>
      <c r="G54" s="379"/>
      <c r="H54" s="379"/>
      <c r="I54" s="379"/>
      <c r="J54" s="378" t="s">
        <v>110</v>
      </c>
      <c r="K54" s="378"/>
      <c r="L54" s="378"/>
      <c r="M54" s="378"/>
    </row>
    <row r="55" spans="1:14" ht="15.75" customHeight="1" x14ac:dyDescent="0.2">
      <c r="A55" s="5"/>
      <c r="B55" s="17"/>
      <c r="C55" s="17"/>
      <c r="D55" s="17"/>
      <c r="G55" s="17"/>
      <c r="H55" s="17"/>
      <c r="J55" s="17"/>
      <c r="K55" s="17"/>
      <c r="L55" s="17"/>
      <c r="M55" s="17"/>
    </row>
    <row r="56" spans="1:14" ht="15.75" customHeight="1" x14ac:dyDescent="0.2"/>
    <row r="57" spans="1:14" ht="15.75" customHeight="1" x14ac:dyDescent="0.2">
      <c r="A57" s="22" t="s">
        <v>64</v>
      </c>
    </row>
    <row r="58" spans="1:14" ht="15.75" customHeight="1" x14ac:dyDescent="0.2">
      <c r="A58" s="22"/>
    </row>
    <row r="59" spans="1:14" ht="15.75" customHeight="1" x14ac:dyDescent="0.2">
      <c r="A59" s="22"/>
    </row>
    <row r="60" spans="1:14" ht="15.75" customHeight="1" x14ac:dyDescent="0.25">
      <c r="A60" s="346" t="s">
        <v>0</v>
      </c>
      <c r="B60" s="346"/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</row>
    <row r="61" spans="1:14" ht="15.75" customHeight="1" x14ac:dyDescent="0.2">
      <c r="B61" s="21"/>
      <c r="C61" s="21"/>
      <c r="D61" s="21"/>
      <c r="E61" s="21"/>
      <c r="F61" s="21"/>
      <c r="G61" s="21"/>
      <c r="H61" s="21"/>
    </row>
    <row r="62" spans="1:14" s="19" customFormat="1" ht="15.75" customHeight="1" x14ac:dyDescent="0.25">
      <c r="A62" s="321" t="s">
        <v>63</v>
      </c>
      <c r="B62" s="321"/>
      <c r="C62" s="321"/>
      <c r="D62" s="282"/>
      <c r="E62" s="321" t="s">
        <v>62</v>
      </c>
      <c r="F62" s="321"/>
      <c r="G62" s="321"/>
      <c r="H62" s="321"/>
      <c r="I62" s="321"/>
      <c r="J62" s="321"/>
      <c r="K62" s="321"/>
      <c r="L62" s="321"/>
      <c r="M62" s="321"/>
      <c r="N62" s="321"/>
    </row>
    <row r="63" spans="1:14" ht="15.75" customHeight="1" x14ac:dyDescent="0.2">
      <c r="A63" s="17"/>
      <c r="B63" s="17"/>
      <c r="C63" s="18"/>
      <c r="D63" s="18"/>
      <c r="F63" s="17"/>
      <c r="G63" s="17"/>
      <c r="H63" s="17"/>
    </row>
    <row r="64" spans="1:14" ht="15.75" customHeight="1" x14ac:dyDescent="0.2">
      <c r="A64" s="16" t="s">
        <v>61</v>
      </c>
      <c r="B64" s="14"/>
      <c r="C64" s="14"/>
      <c r="D64" s="14"/>
      <c r="E64" s="347" t="s">
        <v>60</v>
      </c>
      <c r="F64" s="347"/>
      <c r="G64" s="347"/>
      <c r="H64" s="347"/>
      <c r="I64" s="347"/>
    </row>
    <row r="65" spans="1:14" ht="5.0999999999999996" customHeight="1" x14ac:dyDescent="0.2">
      <c r="A65" s="283"/>
      <c r="B65" s="283"/>
      <c r="C65" s="283"/>
      <c r="D65" s="283"/>
      <c r="E65" s="283"/>
      <c r="F65" s="10"/>
      <c r="G65" s="10"/>
    </row>
    <row r="66" spans="1:14" ht="15.75" customHeight="1" x14ac:dyDescent="0.25">
      <c r="A66" s="348" t="s">
        <v>59</v>
      </c>
      <c r="B66" s="348"/>
      <c r="C66" s="14"/>
      <c r="D66" s="14"/>
      <c r="E66" s="347" t="s">
        <v>58</v>
      </c>
      <c r="F66" s="347"/>
      <c r="G66" s="347"/>
      <c r="H66" s="347"/>
      <c r="I66" s="347"/>
      <c r="J66" s="13"/>
      <c r="K66" s="13"/>
      <c r="L66" s="13"/>
      <c r="M66" s="13"/>
      <c r="N66" s="13"/>
    </row>
    <row r="67" spans="1:14" ht="5.0999999999999996" customHeight="1" x14ac:dyDescent="0.2">
      <c r="A67" s="5"/>
      <c r="B67" s="5"/>
    </row>
    <row r="68" spans="1:14" ht="15.75" customHeight="1" x14ac:dyDescent="0.25">
      <c r="A68" s="3" t="s">
        <v>57</v>
      </c>
      <c r="B68" s="3"/>
      <c r="E68" s="2" t="s">
        <v>56</v>
      </c>
    </row>
    <row r="69" spans="1:14" ht="5.0999999999999996" customHeight="1" x14ac:dyDescent="0.2">
      <c r="A69" s="5"/>
      <c r="B69" s="5"/>
    </row>
    <row r="70" spans="1:14" ht="47.25" customHeight="1" x14ac:dyDescent="0.25">
      <c r="A70" s="11" t="s">
        <v>55</v>
      </c>
      <c r="B70" s="3"/>
      <c r="E70" s="349" t="s">
        <v>54</v>
      </c>
      <c r="F70" s="349"/>
      <c r="G70" s="349"/>
      <c r="H70" s="349"/>
      <c r="I70" s="349"/>
      <c r="J70" s="349"/>
      <c r="K70" s="349"/>
      <c r="L70" s="349"/>
      <c r="M70" s="349"/>
      <c r="N70" s="349"/>
    </row>
    <row r="71" spans="1:14" ht="5.0999999999999996" customHeight="1" x14ac:dyDescent="0.2">
      <c r="A71" s="5"/>
      <c r="B71" s="5"/>
      <c r="E71" s="12"/>
    </row>
    <row r="72" spans="1:14" ht="47.25" customHeight="1" x14ac:dyDescent="0.25">
      <c r="A72" s="11" t="s">
        <v>53</v>
      </c>
      <c r="B72" s="3"/>
      <c r="E72" s="350" t="s">
        <v>52</v>
      </c>
      <c r="F72" s="350"/>
      <c r="G72" s="350"/>
      <c r="H72" s="350"/>
      <c r="I72" s="350"/>
      <c r="J72" s="350"/>
      <c r="K72" s="350"/>
      <c r="L72" s="350"/>
      <c r="M72" s="350"/>
      <c r="N72" s="350"/>
    </row>
    <row r="73" spans="1:14" ht="5.0999999999999996" customHeight="1" x14ac:dyDescent="0.25">
      <c r="A73" s="5"/>
      <c r="B73" s="5"/>
      <c r="E73" s="2"/>
    </row>
    <row r="74" spans="1:14" ht="49.5" customHeight="1" x14ac:dyDescent="0.25">
      <c r="A74" s="11" t="s">
        <v>6</v>
      </c>
      <c r="B74" s="3"/>
      <c r="E74" s="351" t="s">
        <v>51</v>
      </c>
      <c r="F74" s="351"/>
      <c r="G74" s="351"/>
      <c r="H74" s="351"/>
      <c r="I74" s="351"/>
      <c r="J74" s="351"/>
      <c r="K74" s="351"/>
      <c r="L74" s="351"/>
      <c r="M74" s="351"/>
      <c r="N74" s="351"/>
    </row>
    <row r="75" spans="1:14" ht="5.0999999999999996" customHeight="1" x14ac:dyDescent="0.25">
      <c r="A75" s="5"/>
      <c r="B75" s="5"/>
      <c r="E75" s="2"/>
    </row>
    <row r="76" spans="1:14" ht="49.5" customHeight="1" x14ac:dyDescent="0.25">
      <c r="A76" s="11" t="s">
        <v>50</v>
      </c>
      <c r="B76" s="3"/>
      <c r="E76" s="351" t="s">
        <v>49</v>
      </c>
      <c r="F76" s="351"/>
      <c r="G76" s="351"/>
      <c r="H76" s="351"/>
      <c r="I76" s="351"/>
      <c r="J76" s="351"/>
      <c r="K76" s="351"/>
      <c r="L76" s="351"/>
      <c r="M76" s="351"/>
      <c r="N76" s="351"/>
    </row>
    <row r="77" spans="1:14" ht="5.0999999999999996" customHeight="1" x14ac:dyDescent="0.2">
      <c r="A77" s="10"/>
      <c r="B77" s="10"/>
    </row>
    <row r="78" spans="1:14" ht="30.75" customHeight="1" x14ac:dyDescent="0.25">
      <c r="A78" s="9" t="s">
        <v>8</v>
      </c>
      <c r="B78" s="3"/>
      <c r="E78" s="349" t="s">
        <v>48</v>
      </c>
      <c r="F78" s="352"/>
      <c r="G78" s="352"/>
      <c r="H78" s="352"/>
      <c r="I78" s="352"/>
      <c r="J78" s="352"/>
      <c r="K78" s="352"/>
      <c r="L78" s="352"/>
      <c r="M78" s="352"/>
      <c r="N78" s="352"/>
    </row>
    <row r="79" spans="1:14" ht="5.0999999999999996" customHeight="1" x14ac:dyDescent="0.2">
      <c r="A79" s="5"/>
      <c r="B79" s="5"/>
    </row>
    <row r="80" spans="1:14" ht="15.75" customHeight="1" x14ac:dyDescent="0.25">
      <c r="A80" s="3" t="s">
        <v>47</v>
      </c>
      <c r="B80" s="3"/>
      <c r="E80" s="2" t="s">
        <v>46</v>
      </c>
    </row>
    <row r="81" spans="1:14" ht="5.0999999999999996" customHeight="1" x14ac:dyDescent="0.2">
      <c r="A81" s="5"/>
      <c r="B81" s="5"/>
    </row>
    <row r="82" spans="1:14" ht="15.75" customHeight="1" x14ac:dyDescent="0.25">
      <c r="A82" s="8" t="s">
        <v>45</v>
      </c>
      <c r="B82" s="3"/>
      <c r="E82" s="7" t="s">
        <v>44</v>
      </c>
    </row>
    <row r="83" spans="1:14" ht="5.0999999999999996" customHeight="1" x14ac:dyDescent="0.2">
      <c r="A83" s="5"/>
      <c r="B83" s="5"/>
    </row>
    <row r="84" spans="1:14" ht="15.75" customHeight="1" x14ac:dyDescent="0.25">
      <c r="A84" s="3" t="s">
        <v>43</v>
      </c>
      <c r="B84" s="3"/>
      <c r="E84" s="2" t="s">
        <v>42</v>
      </c>
    </row>
    <row r="85" spans="1:14" ht="5.0999999999999996" customHeight="1" x14ac:dyDescent="0.2">
      <c r="A85" s="5"/>
      <c r="B85" s="5"/>
    </row>
    <row r="86" spans="1:14" ht="15.75" customHeight="1" x14ac:dyDescent="0.25">
      <c r="A86" s="3" t="s">
        <v>41</v>
      </c>
      <c r="B86" s="3"/>
      <c r="E86" s="2" t="s">
        <v>40</v>
      </c>
    </row>
    <row r="87" spans="1:14" ht="5.0999999999999996" customHeight="1" x14ac:dyDescent="0.25">
      <c r="A87" s="3"/>
      <c r="B87" s="3"/>
      <c r="E87" s="2"/>
    </row>
    <row r="88" spans="1:14" ht="15.75" customHeight="1" x14ac:dyDescent="0.25">
      <c r="A88" s="8" t="s">
        <v>39</v>
      </c>
      <c r="B88" s="3"/>
      <c r="E88" s="7" t="s">
        <v>38</v>
      </c>
    </row>
    <row r="89" spans="1:14" ht="5.0999999999999996" customHeight="1" x14ac:dyDescent="0.2">
      <c r="A89" s="5"/>
      <c r="B89" s="5"/>
    </row>
    <row r="90" spans="1:14" ht="37.5" customHeight="1" x14ac:dyDescent="0.25">
      <c r="A90" s="6" t="s">
        <v>37</v>
      </c>
      <c r="B90" s="3"/>
      <c r="E90" s="344" t="s">
        <v>36</v>
      </c>
      <c r="F90" s="345"/>
      <c r="G90" s="345"/>
      <c r="H90" s="345"/>
      <c r="I90" s="345"/>
      <c r="J90" s="345"/>
      <c r="K90" s="345"/>
      <c r="L90" s="345"/>
      <c r="M90" s="345"/>
      <c r="N90" s="345"/>
    </row>
    <row r="91" spans="1:14" ht="5.0999999999999996" customHeight="1" x14ac:dyDescent="0.2">
      <c r="A91" s="5"/>
      <c r="B91" s="5"/>
    </row>
    <row r="92" spans="1:14" ht="15.75" customHeight="1" x14ac:dyDescent="0.25">
      <c r="A92" s="3" t="s">
        <v>35</v>
      </c>
      <c r="B92" s="3"/>
      <c r="E92" s="2" t="s">
        <v>34</v>
      </c>
    </row>
    <row r="93" spans="1:14" ht="5.0999999999999996" customHeight="1" x14ac:dyDescent="0.2">
      <c r="A93" s="5"/>
      <c r="B93" s="5"/>
    </row>
    <row r="94" spans="1:14" ht="15.75" customHeight="1" x14ac:dyDescent="0.25">
      <c r="A94" s="3" t="s">
        <v>33</v>
      </c>
      <c r="B94" s="3"/>
      <c r="E94" s="2" t="s">
        <v>32</v>
      </c>
    </row>
    <row r="95" spans="1:14" ht="5.0999999999999996" customHeight="1" x14ac:dyDescent="0.2">
      <c r="A95" s="5"/>
      <c r="B95" s="5"/>
    </row>
    <row r="96" spans="1:14" ht="15.75" customHeight="1" x14ac:dyDescent="0.25">
      <c r="A96" s="3" t="s">
        <v>31</v>
      </c>
      <c r="B96" s="3"/>
      <c r="E96" s="2" t="s">
        <v>30</v>
      </c>
    </row>
    <row r="97" spans="1:5" ht="5.0999999999999996" customHeight="1" x14ac:dyDescent="0.2">
      <c r="A97" s="5"/>
      <c r="B97" s="5"/>
    </row>
    <row r="98" spans="1:5" ht="15.75" customHeight="1" x14ac:dyDescent="0.25">
      <c r="A98" s="3" t="s">
        <v>29</v>
      </c>
      <c r="B98" s="3"/>
      <c r="E98" s="2" t="s">
        <v>28</v>
      </c>
    </row>
    <row r="99" spans="1:5" ht="5.0999999999999996" customHeight="1" x14ac:dyDescent="0.2">
      <c r="A99" s="5"/>
      <c r="B99" s="5"/>
    </row>
    <row r="100" spans="1:5" ht="15.75" customHeight="1" x14ac:dyDescent="0.25">
      <c r="A100" s="4" t="s">
        <v>14</v>
      </c>
      <c r="B100" s="3"/>
      <c r="E100" s="2" t="s">
        <v>27</v>
      </c>
    </row>
  </sheetData>
  <mergeCells count="55">
    <mergeCell ref="E90:N90"/>
    <mergeCell ref="A60:N60"/>
    <mergeCell ref="A62:C62"/>
    <mergeCell ref="E62:N62"/>
    <mergeCell ref="E64:I64"/>
    <mergeCell ref="A66:B66"/>
    <mergeCell ref="E66:I66"/>
    <mergeCell ref="E70:N70"/>
    <mergeCell ref="E72:N72"/>
    <mergeCell ref="E74:N74"/>
    <mergeCell ref="E76:N76"/>
    <mergeCell ref="E78:N78"/>
    <mergeCell ref="A53:D53"/>
    <mergeCell ref="F53:H53"/>
    <mergeCell ref="J53:M53"/>
    <mergeCell ref="B54:C54"/>
    <mergeCell ref="F54:I54"/>
    <mergeCell ref="J54:M54"/>
    <mergeCell ref="A52:D52"/>
    <mergeCell ref="E52:I52"/>
    <mergeCell ref="B45:C45"/>
    <mergeCell ref="D45:F45"/>
    <mergeCell ref="G45:H45"/>
    <mergeCell ref="B46:C46"/>
    <mergeCell ref="D46:F46"/>
    <mergeCell ref="G46:H46"/>
    <mergeCell ref="B47:C47"/>
    <mergeCell ref="D47:F47"/>
    <mergeCell ref="G47:H47"/>
    <mergeCell ref="A49:D49"/>
    <mergeCell ref="E49:I49"/>
    <mergeCell ref="B44:C44"/>
    <mergeCell ref="D44:F44"/>
    <mergeCell ref="G44:H44"/>
    <mergeCell ref="F12:F13"/>
    <mergeCell ref="G12:G13"/>
    <mergeCell ref="H12:H13"/>
    <mergeCell ref="A39:L41"/>
    <mergeCell ref="C42:I42"/>
    <mergeCell ref="B43:C43"/>
    <mergeCell ref="D43:F43"/>
    <mergeCell ref="G43:H43"/>
    <mergeCell ref="I12:I13"/>
    <mergeCell ref="J12:J13"/>
    <mergeCell ref="K12:K13"/>
    <mergeCell ref="A12:A13"/>
    <mergeCell ref="B12:B13"/>
    <mergeCell ref="C12:C13"/>
    <mergeCell ref="D12:D13"/>
    <mergeCell ref="E12:E13"/>
    <mergeCell ref="A4:N4"/>
    <mergeCell ref="A6:N6"/>
    <mergeCell ref="D7:I7"/>
    <mergeCell ref="C11:G11"/>
    <mergeCell ref="H11:K11"/>
  </mergeCells>
  <pageMargins left="0.62992125984251968" right="0.62992125984251968" top="0.39370078740157483" bottom="0.23622047244094491" header="0" footer="0"/>
  <pageSetup scale="70" orientation="landscape" r:id="rId1"/>
  <headerFooter alignWithMargins="0">
    <oddFooter>&amp;R</oddFooter>
  </headerFooter>
  <rowBreaks count="1" manualBreakCount="1">
    <brk id="56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4:T100"/>
  <sheetViews>
    <sheetView showGridLines="0" tabSelected="1" topLeftCell="A10" zoomScale="110" zoomScaleNormal="110" zoomScaleSheetLayoutView="100" workbookViewId="0">
      <selection activeCell="B4" sqref="B4:O55"/>
    </sheetView>
  </sheetViews>
  <sheetFormatPr baseColWidth="10" defaultRowHeight="12.75" x14ac:dyDescent="0.2"/>
  <cols>
    <col min="1" max="1" width="5" style="1" customWidth="1"/>
    <col min="2" max="2" width="24.28515625" style="1" customWidth="1"/>
    <col min="3" max="3" width="11.28515625" style="1" customWidth="1"/>
    <col min="4" max="4" width="13.28515625" style="1" customWidth="1"/>
    <col min="5" max="6" width="11.42578125" style="1" customWidth="1"/>
    <col min="7" max="7" width="9.5703125" style="1" customWidth="1"/>
    <col min="8" max="8" width="10.5703125" style="1" customWidth="1"/>
    <col min="9" max="9" width="11.85546875" style="1" customWidth="1"/>
    <col min="10" max="10" width="10.140625" style="1" customWidth="1"/>
    <col min="11" max="11" width="12.140625" style="1" customWidth="1"/>
    <col min="12" max="12" width="17.7109375" style="1" customWidth="1"/>
    <col min="13" max="13" width="10" style="1" customWidth="1"/>
    <col min="14" max="14" width="12.140625" style="1" customWidth="1"/>
    <col min="15" max="15" width="10.7109375" style="1" customWidth="1"/>
    <col min="16" max="16" width="15" style="1" customWidth="1"/>
    <col min="17" max="17" width="12.7109375" style="1" customWidth="1"/>
    <col min="18" max="16384" width="11.42578125" style="1"/>
  </cols>
  <sheetData>
    <row r="4" spans="2:15" ht="15.75" customHeight="1" x14ac:dyDescent="0.25">
      <c r="B4" s="321" t="s">
        <v>83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</row>
    <row r="5" spans="2:15" ht="15.75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5" ht="15.75" customHeight="1" x14ac:dyDescent="0.25">
      <c r="B6" s="321" t="s">
        <v>0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/>
    </row>
    <row r="7" spans="2:15" ht="15.75" customHeight="1" x14ac:dyDescent="0.25">
      <c r="B7" s="292"/>
      <c r="C7" s="292"/>
      <c r="D7" s="292"/>
      <c r="E7" s="321" t="s">
        <v>124</v>
      </c>
      <c r="F7" s="321"/>
      <c r="G7" s="321"/>
      <c r="H7" s="321"/>
      <c r="I7" s="321"/>
      <c r="J7" s="321"/>
      <c r="K7" s="292"/>
      <c r="L7" s="292"/>
      <c r="M7" s="292"/>
      <c r="N7" s="292"/>
      <c r="O7" s="292"/>
    </row>
    <row r="8" spans="2:15" ht="15.75" customHeight="1" x14ac:dyDescent="0.25">
      <c r="B8" s="85"/>
      <c r="C8" s="84"/>
      <c r="D8" s="84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</row>
    <row r="9" spans="2:15" ht="15.75" hidden="1" customHeight="1" x14ac:dyDescent="0.25">
      <c r="B9" s="85" t="s">
        <v>1</v>
      </c>
      <c r="C9" s="84"/>
      <c r="D9" s="84"/>
      <c r="E9" s="292"/>
      <c r="F9" s="292"/>
      <c r="G9" s="292"/>
      <c r="H9" s="292"/>
      <c r="I9" s="292"/>
      <c r="J9" s="292"/>
      <c r="K9" s="292"/>
      <c r="L9" s="292"/>
      <c r="M9" s="292"/>
      <c r="N9" s="292"/>
      <c r="O9" s="292"/>
    </row>
    <row r="10" spans="2:15" ht="15.75" customHeight="1" x14ac:dyDescent="0.2">
      <c r="C10" s="5"/>
      <c r="D10" s="83"/>
      <c r="E10" s="5"/>
      <c r="F10" s="151"/>
      <c r="G10" s="21"/>
      <c r="H10" s="21"/>
    </row>
    <row r="11" spans="2:15" ht="15.75" customHeight="1" x14ac:dyDescent="0.25">
      <c r="D11" s="322" t="s">
        <v>2</v>
      </c>
      <c r="E11" s="322"/>
      <c r="F11" s="323"/>
      <c r="G11" s="323"/>
      <c r="H11" s="323"/>
      <c r="I11" s="322" t="s">
        <v>3</v>
      </c>
      <c r="J11" s="322"/>
      <c r="K11" s="322"/>
      <c r="L11" s="322"/>
      <c r="M11" s="82"/>
      <c r="N11" s="82"/>
    </row>
    <row r="12" spans="2:15" ht="15.75" customHeight="1" x14ac:dyDescent="0.25">
      <c r="B12" s="324" t="s">
        <v>4</v>
      </c>
      <c r="C12" s="326" t="s">
        <v>82</v>
      </c>
      <c r="D12" s="326" t="s">
        <v>5</v>
      </c>
      <c r="E12" s="326" t="s">
        <v>6</v>
      </c>
      <c r="F12" s="327" t="s">
        <v>7</v>
      </c>
      <c r="G12" s="327" t="s">
        <v>8</v>
      </c>
      <c r="H12" s="324" t="s">
        <v>9</v>
      </c>
      <c r="I12" s="327" t="s">
        <v>10</v>
      </c>
      <c r="J12" s="327" t="s">
        <v>11</v>
      </c>
      <c r="K12" s="327" t="s">
        <v>12</v>
      </c>
      <c r="L12" s="327" t="s">
        <v>13</v>
      </c>
      <c r="M12" s="294"/>
      <c r="N12" s="294"/>
      <c r="O12" s="293" t="s">
        <v>14</v>
      </c>
    </row>
    <row r="13" spans="2:15" ht="39" customHeight="1" x14ac:dyDescent="0.2">
      <c r="B13" s="325"/>
      <c r="C13" s="326"/>
      <c r="D13" s="326"/>
      <c r="E13" s="326"/>
      <c r="F13" s="327"/>
      <c r="G13" s="327"/>
      <c r="H13" s="325"/>
      <c r="I13" s="327"/>
      <c r="J13" s="327"/>
      <c r="K13" s="327"/>
      <c r="L13" s="327"/>
      <c r="M13" s="294"/>
      <c r="N13" s="294"/>
      <c r="O13" s="79" t="s">
        <v>15</v>
      </c>
    </row>
    <row r="14" spans="2:15" ht="15.75" customHeight="1" x14ac:dyDescent="0.25">
      <c r="B14" s="77" t="s">
        <v>81</v>
      </c>
      <c r="C14" s="78"/>
      <c r="D14" s="73">
        <v>5927788.3600000003</v>
      </c>
      <c r="E14" s="58"/>
      <c r="F14" s="58"/>
      <c r="G14" s="60"/>
      <c r="H14" s="56"/>
      <c r="I14" s="56"/>
      <c r="J14" s="56"/>
      <c r="K14" s="56"/>
      <c r="L14" s="75"/>
      <c r="M14" s="75"/>
      <c r="N14" s="75"/>
      <c r="O14" s="72"/>
    </row>
    <row r="15" spans="2:15" ht="15.75" customHeight="1" x14ac:dyDescent="0.25">
      <c r="B15" s="77" t="s">
        <v>80</v>
      </c>
      <c r="C15" s="78"/>
      <c r="D15" s="73"/>
      <c r="E15" s="58"/>
      <c r="F15" s="58"/>
      <c r="G15" s="60"/>
      <c r="H15" s="56"/>
      <c r="I15" s="56"/>
      <c r="J15" s="56"/>
      <c r="K15" s="56"/>
      <c r="L15" s="75"/>
      <c r="M15" s="75"/>
      <c r="N15" s="75"/>
      <c r="O15" s="72"/>
    </row>
    <row r="16" spans="2:15" ht="15.75" customHeight="1" x14ac:dyDescent="0.25">
      <c r="B16" s="77" t="s">
        <v>79</v>
      </c>
      <c r="C16" s="78"/>
      <c r="D16" s="73">
        <v>5647804.9800000004</v>
      </c>
      <c r="E16" s="58"/>
      <c r="F16" s="58"/>
      <c r="G16" s="60"/>
      <c r="H16" s="56"/>
      <c r="I16" s="56"/>
      <c r="J16" s="56"/>
      <c r="K16" s="56"/>
      <c r="L16" s="75"/>
      <c r="M16" s="75"/>
      <c r="N16" s="75"/>
      <c r="O16" s="72"/>
    </row>
    <row r="17" spans="2:20" ht="15.75" customHeight="1" x14ac:dyDescent="0.25">
      <c r="B17" s="77" t="s">
        <v>78</v>
      </c>
      <c r="C17" s="78"/>
      <c r="D17" s="73">
        <v>2116648.44</v>
      </c>
      <c r="E17" s="58"/>
      <c r="F17" s="58"/>
      <c r="G17" s="60"/>
      <c r="H17" s="56"/>
      <c r="I17" s="56"/>
      <c r="J17" s="56"/>
      <c r="K17" s="56"/>
      <c r="L17" s="75"/>
      <c r="M17" s="75"/>
      <c r="N17" s="75"/>
      <c r="O17" s="72"/>
      <c r="P17" s="68"/>
    </row>
    <row r="18" spans="2:20" ht="15.75" customHeight="1" x14ac:dyDescent="0.25">
      <c r="B18" s="77" t="s">
        <v>77</v>
      </c>
      <c r="C18" s="76"/>
      <c r="D18" s="73"/>
      <c r="E18" s="58"/>
      <c r="G18" s="60"/>
      <c r="H18" s="56"/>
      <c r="J18" s="56"/>
      <c r="K18" s="56"/>
      <c r="L18" s="75"/>
      <c r="M18" s="75"/>
      <c r="N18" s="75"/>
      <c r="O18" s="72"/>
      <c r="P18" s="68"/>
    </row>
    <row r="19" spans="2:20" ht="15.75" customHeight="1" x14ac:dyDescent="0.25">
      <c r="B19" s="62" t="s">
        <v>76</v>
      </c>
      <c r="C19" s="74">
        <v>13131151.18</v>
      </c>
      <c r="D19" s="73">
        <f>SUM(D14:D18)</f>
        <v>13692241.779999999</v>
      </c>
      <c r="E19" s="58"/>
      <c r="F19" s="58">
        <v>13692241.779999999</v>
      </c>
      <c r="G19" s="271">
        <v>0</v>
      </c>
      <c r="H19" s="56">
        <f>+D19+E19-F19</f>
        <v>0</v>
      </c>
      <c r="I19" s="56">
        <f>9937.4</f>
        <v>9937.4</v>
      </c>
      <c r="J19" s="56">
        <v>0</v>
      </c>
      <c r="K19" s="56">
        <f>9937+0.4</f>
        <v>9937.4</v>
      </c>
      <c r="L19" s="56">
        <f>+I19+J19-K19</f>
        <v>0</v>
      </c>
      <c r="M19" s="73">
        <f>+H19-L19</f>
        <v>0</v>
      </c>
      <c r="N19" s="73">
        <f t="shared" ref="N19:N34" si="0">H19-L19</f>
        <v>0</v>
      </c>
      <c r="O19" s="72">
        <f t="shared" ref="O19:O29" si="1">F19/C19</f>
        <v>1.0427297342257846</v>
      </c>
      <c r="P19" s="68"/>
    </row>
    <row r="20" spans="2:20" ht="15.75" customHeight="1" x14ac:dyDescent="0.25">
      <c r="B20" s="62" t="s">
        <v>75</v>
      </c>
      <c r="C20" s="61">
        <v>16873510</v>
      </c>
      <c r="D20" s="61">
        <v>15845785.99</v>
      </c>
      <c r="E20" s="58"/>
      <c r="F20" s="58">
        <v>15845785.99</v>
      </c>
      <c r="G20" s="60">
        <f t="shared" ref="G20:G30" si="2">F20/D20</f>
        <v>1</v>
      </c>
      <c r="H20" s="56">
        <f t="shared" ref="H20:H33" si="3">+D20+E20-F20</f>
        <v>0</v>
      </c>
      <c r="I20" s="56">
        <v>0</v>
      </c>
      <c r="J20" s="56">
        <v>0</v>
      </c>
      <c r="K20" s="56">
        <v>0</v>
      </c>
      <c r="L20" s="56">
        <f t="shared" ref="L20:L34" si="4">+I20+J20-K20</f>
        <v>0</v>
      </c>
      <c r="M20" s="73">
        <f t="shared" ref="M20:M34" si="5">+H20-L20</f>
        <v>0</v>
      </c>
      <c r="N20" s="73">
        <f t="shared" si="0"/>
        <v>0</v>
      </c>
      <c r="O20" s="60">
        <f t="shared" si="1"/>
        <v>0.93909245853411649</v>
      </c>
      <c r="P20" s="70"/>
      <c r="Q20" s="71"/>
      <c r="R20" s="48"/>
    </row>
    <row r="21" spans="2:20" ht="15.75" customHeight="1" x14ac:dyDescent="0.25">
      <c r="B21" s="62" t="s">
        <v>74</v>
      </c>
      <c r="C21" s="61">
        <v>7436006</v>
      </c>
      <c r="D21" s="61">
        <v>7372204.9900000002</v>
      </c>
      <c r="E21" s="58"/>
      <c r="F21" s="58">
        <v>7372204.9900000002</v>
      </c>
      <c r="G21" s="60">
        <f t="shared" si="2"/>
        <v>1</v>
      </c>
      <c r="H21" s="56">
        <f t="shared" si="3"/>
        <v>0</v>
      </c>
      <c r="I21" s="56">
        <v>0</v>
      </c>
      <c r="J21" s="56">
        <v>0</v>
      </c>
      <c r="K21" s="56">
        <v>0</v>
      </c>
      <c r="L21" s="56">
        <f t="shared" si="4"/>
        <v>0</v>
      </c>
      <c r="M21" s="73">
        <f t="shared" si="5"/>
        <v>0</v>
      </c>
      <c r="N21" s="73">
        <f t="shared" si="0"/>
        <v>0</v>
      </c>
      <c r="O21" s="60">
        <f t="shared" si="1"/>
        <v>0.99141998944056797</v>
      </c>
      <c r="P21" s="70"/>
      <c r="Q21" s="69"/>
      <c r="R21" s="45"/>
    </row>
    <row r="22" spans="2:20" ht="15.75" customHeight="1" x14ac:dyDescent="0.25">
      <c r="B22" s="62" t="s">
        <v>73</v>
      </c>
      <c r="C22" s="61">
        <v>281545</v>
      </c>
      <c r="D22" s="63">
        <v>270100.25</v>
      </c>
      <c r="E22" s="104"/>
      <c r="F22" s="58">
        <v>270100.25</v>
      </c>
      <c r="G22" s="60">
        <f>F22/D22</f>
        <v>1</v>
      </c>
      <c r="H22" s="56">
        <f>+D22+E22-F22</f>
        <v>0</v>
      </c>
      <c r="I22" s="56">
        <v>0</v>
      </c>
      <c r="J22" s="56">
        <v>0</v>
      </c>
      <c r="K22" s="56">
        <v>0</v>
      </c>
      <c r="L22" s="56">
        <f t="shared" si="4"/>
        <v>0</v>
      </c>
      <c r="M22" s="73">
        <f t="shared" si="5"/>
        <v>0</v>
      </c>
      <c r="N22" s="73">
        <f t="shared" si="0"/>
        <v>0</v>
      </c>
      <c r="O22" s="60">
        <f t="shared" si="1"/>
        <v>0.9593501926867819</v>
      </c>
      <c r="P22" s="68"/>
    </row>
    <row r="23" spans="2:20" ht="15.75" customHeight="1" x14ac:dyDescent="0.25">
      <c r="B23" s="62" t="s">
        <v>86</v>
      </c>
      <c r="C23" s="61">
        <v>824025</v>
      </c>
      <c r="D23" s="61">
        <v>795525.48</v>
      </c>
      <c r="E23" s="58"/>
      <c r="F23" s="58">
        <v>795525.48</v>
      </c>
      <c r="G23" s="60">
        <f t="shared" ref="G23:G25" si="6">F23/D23</f>
        <v>1</v>
      </c>
      <c r="H23" s="56">
        <f>+D23+E23-F23</f>
        <v>0</v>
      </c>
      <c r="I23" s="56">
        <v>0</v>
      </c>
      <c r="J23" s="56">
        <v>0</v>
      </c>
      <c r="K23" s="56">
        <v>0</v>
      </c>
      <c r="L23" s="56">
        <f t="shared" si="4"/>
        <v>0</v>
      </c>
      <c r="M23" s="73">
        <f t="shared" si="5"/>
        <v>0</v>
      </c>
      <c r="N23" s="73">
        <f t="shared" si="0"/>
        <v>0</v>
      </c>
      <c r="O23" s="60">
        <f t="shared" si="1"/>
        <v>0.96541425320833707</v>
      </c>
    </row>
    <row r="24" spans="2:20" ht="15.75" customHeight="1" x14ac:dyDescent="0.25">
      <c r="B24" s="62" t="s">
        <v>72</v>
      </c>
      <c r="C24" s="61">
        <v>600184</v>
      </c>
      <c r="D24" s="61">
        <v>424408.81</v>
      </c>
      <c r="E24" s="58"/>
      <c r="F24" s="58">
        <v>424408.81</v>
      </c>
      <c r="G24" s="60">
        <f t="shared" si="6"/>
        <v>1</v>
      </c>
      <c r="H24" s="56">
        <f t="shared" si="3"/>
        <v>0</v>
      </c>
      <c r="I24" s="56">
        <v>0</v>
      </c>
      <c r="J24" s="56">
        <v>0</v>
      </c>
      <c r="K24" s="56">
        <v>0</v>
      </c>
      <c r="L24" s="56">
        <f t="shared" si="4"/>
        <v>0</v>
      </c>
      <c r="M24" s="73">
        <f t="shared" si="5"/>
        <v>0</v>
      </c>
      <c r="N24" s="73">
        <f t="shared" si="0"/>
        <v>0</v>
      </c>
      <c r="O24" s="60">
        <f t="shared" si="1"/>
        <v>0.70713116310997959</v>
      </c>
    </row>
    <row r="25" spans="2:20" ht="15.75" customHeight="1" x14ac:dyDescent="0.25">
      <c r="B25" s="62" t="s">
        <v>93</v>
      </c>
      <c r="C25" s="61">
        <v>11852113.560000001</v>
      </c>
      <c r="D25" s="63">
        <v>11852113.560000001</v>
      </c>
      <c r="E25" s="104"/>
      <c r="F25" s="104">
        <v>11852113.560000001</v>
      </c>
      <c r="G25" s="60">
        <f t="shared" si="6"/>
        <v>1</v>
      </c>
      <c r="H25" s="56">
        <f>+D25+E25-F25</f>
        <v>0</v>
      </c>
      <c r="I25" s="67">
        <v>0</v>
      </c>
      <c r="J25" s="67">
        <v>0</v>
      </c>
      <c r="K25" s="67"/>
      <c r="L25" s="56">
        <f t="shared" si="4"/>
        <v>0</v>
      </c>
      <c r="M25" s="73">
        <f t="shared" si="5"/>
        <v>0</v>
      </c>
      <c r="N25" s="73">
        <f t="shared" si="0"/>
        <v>0</v>
      </c>
      <c r="O25" s="66">
        <f t="shared" si="1"/>
        <v>1</v>
      </c>
      <c r="P25" s="48"/>
      <c r="Q25" s="65"/>
      <c r="R25" s="65"/>
      <c r="S25" s="65"/>
      <c r="T25" s="65"/>
    </row>
    <row r="26" spans="2:20" ht="15.75" customHeight="1" x14ac:dyDescent="0.25">
      <c r="B26" s="62" t="s">
        <v>91</v>
      </c>
      <c r="C26" s="61">
        <v>3479677</v>
      </c>
      <c r="D26" s="61">
        <v>3479677</v>
      </c>
      <c r="E26" s="104"/>
      <c r="F26" s="58">
        <v>3479677</v>
      </c>
      <c r="G26" s="66">
        <f>F26/I26</f>
        <v>3474.4306097792332</v>
      </c>
      <c r="H26" s="56">
        <f>+D26+E26-F26</f>
        <v>0</v>
      </c>
      <c r="I26" s="58">
        <v>1001.51</v>
      </c>
      <c r="J26" s="56">
        <v>0</v>
      </c>
      <c r="K26" s="56">
        <v>1001.51</v>
      </c>
      <c r="L26" s="56">
        <f t="shared" si="4"/>
        <v>0</v>
      </c>
      <c r="M26" s="73">
        <f t="shared" si="5"/>
        <v>0</v>
      </c>
      <c r="N26" s="73">
        <f t="shared" si="0"/>
        <v>0</v>
      </c>
      <c r="O26" s="60">
        <f t="shared" si="1"/>
        <v>1</v>
      </c>
      <c r="P26" s="64"/>
    </row>
    <row r="27" spans="2:20" ht="15.75" customHeight="1" x14ac:dyDescent="0.25">
      <c r="B27" s="62" t="s">
        <v>90</v>
      </c>
      <c r="C27" s="61"/>
      <c r="D27" s="58">
        <v>0</v>
      </c>
      <c r="E27" s="104"/>
      <c r="F27" s="58">
        <v>0</v>
      </c>
      <c r="G27" s="66">
        <v>0</v>
      </c>
      <c r="H27" s="67">
        <f>+D27+E27-F27</f>
        <v>0</v>
      </c>
      <c r="I27" s="56">
        <v>0</v>
      </c>
      <c r="J27" s="56">
        <v>0</v>
      </c>
      <c r="K27" s="56">
        <v>0</v>
      </c>
      <c r="L27" s="56">
        <f t="shared" si="4"/>
        <v>0</v>
      </c>
      <c r="M27" s="73">
        <f t="shared" si="5"/>
        <v>0</v>
      </c>
      <c r="N27" s="73">
        <f t="shared" si="0"/>
        <v>0</v>
      </c>
      <c r="O27" s="60">
        <v>0</v>
      </c>
      <c r="P27" s="64"/>
    </row>
    <row r="28" spans="2:20" ht="15.75" customHeight="1" x14ac:dyDescent="0.25">
      <c r="B28" s="62" t="s">
        <v>70</v>
      </c>
      <c r="C28" s="63">
        <v>99465</v>
      </c>
      <c r="D28" s="61">
        <v>175659.22</v>
      </c>
      <c r="E28" s="58"/>
      <c r="F28" s="58">
        <v>175659.22</v>
      </c>
      <c r="G28" s="60">
        <f t="shared" si="2"/>
        <v>1</v>
      </c>
      <c r="H28" s="67">
        <f>+D28+E28-F28</f>
        <v>0</v>
      </c>
      <c r="I28" s="56">
        <v>0</v>
      </c>
      <c r="J28" s="56">
        <v>0</v>
      </c>
      <c r="K28" s="56">
        <v>0</v>
      </c>
      <c r="L28" s="56">
        <f t="shared" si="4"/>
        <v>0</v>
      </c>
      <c r="M28" s="73">
        <f t="shared" si="5"/>
        <v>0</v>
      </c>
      <c r="N28" s="73">
        <f t="shared" si="0"/>
        <v>0</v>
      </c>
      <c r="O28" s="60">
        <f t="shared" si="1"/>
        <v>1.7660405167646911</v>
      </c>
    </row>
    <row r="29" spans="2:20" ht="15.75" customHeight="1" x14ac:dyDescent="0.25">
      <c r="B29" s="62" t="s">
        <v>69</v>
      </c>
      <c r="C29" s="61">
        <v>29793</v>
      </c>
      <c r="D29" s="61">
        <v>29803.27</v>
      </c>
      <c r="E29" s="58"/>
      <c r="F29" s="58">
        <v>29803.27</v>
      </c>
      <c r="G29" s="60">
        <f t="shared" si="2"/>
        <v>1</v>
      </c>
      <c r="H29" s="56">
        <f t="shared" si="3"/>
        <v>0</v>
      </c>
      <c r="I29" s="56">
        <v>0</v>
      </c>
      <c r="J29" s="56">
        <v>0</v>
      </c>
      <c r="K29" s="56">
        <v>0</v>
      </c>
      <c r="L29" s="56">
        <f t="shared" si="4"/>
        <v>0</v>
      </c>
      <c r="M29" s="73">
        <f t="shared" si="5"/>
        <v>0</v>
      </c>
      <c r="N29" s="73">
        <f t="shared" si="0"/>
        <v>0</v>
      </c>
      <c r="O29" s="60">
        <f t="shared" si="1"/>
        <v>1.0003447118450643</v>
      </c>
    </row>
    <row r="30" spans="2:20" ht="15.75" customHeight="1" x14ac:dyDescent="0.25">
      <c r="B30" s="62" t="s">
        <v>26</v>
      </c>
      <c r="C30" s="61">
        <v>68757.710000000006</v>
      </c>
      <c r="D30" s="112">
        <v>301401.69</v>
      </c>
      <c r="E30" s="58"/>
      <c r="F30" s="58">
        <v>301401.69</v>
      </c>
      <c r="G30" s="60">
        <f t="shared" si="2"/>
        <v>1</v>
      </c>
      <c r="H30" s="56">
        <f>+D30+E30-F30</f>
        <v>0</v>
      </c>
      <c r="I30" s="56">
        <v>0</v>
      </c>
      <c r="J30" s="56">
        <v>0</v>
      </c>
      <c r="K30" s="56">
        <v>0</v>
      </c>
      <c r="L30" s="56">
        <f t="shared" si="4"/>
        <v>0</v>
      </c>
      <c r="M30" s="73">
        <f t="shared" si="5"/>
        <v>0</v>
      </c>
      <c r="N30" s="73">
        <f t="shared" si="0"/>
        <v>0</v>
      </c>
      <c r="O30" s="60">
        <v>0</v>
      </c>
    </row>
    <row r="31" spans="2:20" ht="15.75" customHeight="1" x14ac:dyDescent="0.25">
      <c r="B31" s="62" t="s">
        <v>85</v>
      </c>
      <c r="C31" s="61"/>
      <c r="D31" s="61">
        <v>0</v>
      </c>
      <c r="E31" s="58"/>
      <c r="F31" s="58">
        <v>0</v>
      </c>
      <c r="G31" s="60">
        <v>0</v>
      </c>
      <c r="H31" s="56">
        <f t="shared" si="3"/>
        <v>0</v>
      </c>
      <c r="I31" s="56">
        <v>0</v>
      </c>
      <c r="J31" s="56">
        <v>0</v>
      </c>
      <c r="K31" s="56">
        <v>0</v>
      </c>
      <c r="L31" s="56">
        <f t="shared" si="4"/>
        <v>0</v>
      </c>
      <c r="M31" s="73">
        <f t="shared" si="5"/>
        <v>0</v>
      </c>
      <c r="N31" s="73">
        <f t="shared" si="0"/>
        <v>0</v>
      </c>
      <c r="O31" s="60">
        <v>0</v>
      </c>
    </row>
    <row r="32" spans="2:20" ht="15.75" customHeight="1" x14ac:dyDescent="0.25">
      <c r="B32" s="62" t="s">
        <v>84</v>
      </c>
      <c r="C32" s="61">
        <v>2885500</v>
      </c>
      <c r="D32" s="61">
        <v>2595806.54</v>
      </c>
      <c r="E32" s="58"/>
      <c r="F32" s="58">
        <v>2595806.54</v>
      </c>
      <c r="G32" s="60"/>
      <c r="H32" s="56">
        <f t="shared" si="3"/>
        <v>0</v>
      </c>
      <c r="I32" s="56">
        <v>0</v>
      </c>
      <c r="J32" s="56"/>
      <c r="K32" s="56">
        <v>0</v>
      </c>
      <c r="L32" s="56">
        <f t="shared" si="4"/>
        <v>0</v>
      </c>
      <c r="M32" s="73">
        <f t="shared" si="5"/>
        <v>0</v>
      </c>
      <c r="N32" s="73">
        <f t="shared" si="0"/>
        <v>0</v>
      </c>
      <c r="O32" s="60">
        <v>0</v>
      </c>
    </row>
    <row r="33" spans="2:19" ht="15.75" customHeight="1" x14ac:dyDescent="0.25">
      <c r="B33" s="62" t="s">
        <v>114</v>
      </c>
      <c r="C33" s="61">
        <v>200000</v>
      </c>
      <c r="D33" s="61">
        <v>200000</v>
      </c>
      <c r="E33" s="58"/>
      <c r="F33" s="58">
        <v>200000</v>
      </c>
      <c r="G33" s="60"/>
      <c r="H33" s="56">
        <f t="shared" si="3"/>
        <v>0</v>
      </c>
      <c r="I33" s="56">
        <v>0</v>
      </c>
      <c r="J33" s="56"/>
      <c r="K33" s="56"/>
      <c r="L33" s="56">
        <f t="shared" si="4"/>
        <v>0</v>
      </c>
      <c r="M33" s="73">
        <f t="shared" si="5"/>
        <v>0</v>
      </c>
      <c r="N33" s="73">
        <f t="shared" si="0"/>
        <v>0</v>
      </c>
      <c r="O33" s="60">
        <v>0</v>
      </c>
    </row>
    <row r="34" spans="2:19" ht="15.75" customHeight="1" x14ac:dyDescent="0.25">
      <c r="B34" s="107" t="s">
        <v>92</v>
      </c>
      <c r="C34" s="268"/>
      <c r="D34" s="268"/>
      <c r="E34" s="268"/>
      <c r="F34" s="268">
        <v>0</v>
      </c>
      <c r="G34" s="269">
        <v>0</v>
      </c>
      <c r="H34" s="270">
        <f t="shared" ref="H34" si="7">D34-F34</f>
        <v>0</v>
      </c>
      <c r="I34" s="270">
        <v>173.01</v>
      </c>
      <c r="J34" s="270">
        <v>103243.35</v>
      </c>
      <c r="K34" s="270">
        <f>103243.35+173.01</f>
        <v>103416.36</v>
      </c>
      <c r="L34" s="56">
        <f t="shared" si="4"/>
        <v>0</v>
      </c>
      <c r="M34" s="73">
        <f t="shared" si="5"/>
        <v>0</v>
      </c>
      <c r="N34" s="73">
        <f t="shared" si="0"/>
        <v>0</v>
      </c>
      <c r="O34" s="60">
        <v>0</v>
      </c>
    </row>
    <row r="35" spans="2:19" ht="15.75" customHeight="1" x14ac:dyDescent="0.25">
      <c r="B35" s="59" t="s">
        <v>68</v>
      </c>
      <c r="C35" s="58">
        <f>SUM(C19:C33)</f>
        <v>57761727.450000003</v>
      </c>
      <c r="D35" s="58">
        <f>SUM(D19:D34)</f>
        <v>57034728.579999998</v>
      </c>
      <c r="E35" s="58"/>
      <c r="F35" s="58">
        <f>SUM(F19:F34)</f>
        <v>57034728.579999998</v>
      </c>
      <c r="G35" s="57"/>
      <c r="H35" s="56">
        <f t="shared" ref="H35:J35" si="8">SUM(H19:H34)</f>
        <v>0</v>
      </c>
      <c r="I35" s="56">
        <f t="shared" si="8"/>
        <v>11111.92</v>
      </c>
      <c r="J35" s="56">
        <f t="shared" si="8"/>
        <v>103243.35</v>
      </c>
      <c r="K35" s="56">
        <f>SUM(K19:K34)</f>
        <v>114355.27</v>
      </c>
      <c r="L35" s="56">
        <f>SUM(L19:L34)</f>
        <v>0</v>
      </c>
      <c r="M35" s="56">
        <f>SUM(M19:M34)</f>
        <v>0</v>
      </c>
      <c r="N35" s="56">
        <f>SUM(N19:N34)</f>
        <v>0</v>
      </c>
      <c r="O35" s="60">
        <v>0</v>
      </c>
    </row>
    <row r="36" spans="2:19" ht="15.75" customHeight="1" x14ac:dyDescent="0.25">
      <c r="B36" s="153"/>
      <c r="C36" s="154"/>
      <c r="D36" s="154"/>
      <c r="E36" s="154"/>
      <c r="F36" s="154"/>
      <c r="G36" s="155"/>
      <c r="H36" s="55"/>
      <c r="I36" s="55"/>
      <c r="J36" s="55"/>
      <c r="K36" s="55"/>
      <c r="L36" s="55"/>
      <c r="M36" s="55"/>
      <c r="N36" s="55"/>
      <c r="O36" s="55"/>
    </row>
    <row r="37" spans="2:19" ht="15.75" customHeight="1" x14ac:dyDescent="0.25">
      <c r="B37" s="153"/>
      <c r="C37" s="154"/>
      <c r="D37" s="154"/>
      <c r="E37" s="154"/>
      <c r="F37" s="154"/>
      <c r="G37" s="155"/>
      <c r="H37" s="55"/>
      <c r="I37" s="55"/>
      <c r="J37" s="55"/>
      <c r="K37" s="55"/>
      <c r="L37" s="55"/>
      <c r="M37" s="55"/>
      <c r="N37" s="55"/>
      <c r="O37" s="55"/>
    </row>
    <row r="38" spans="2:19" ht="15.75" customHeight="1" x14ac:dyDescent="0.25">
      <c r="B38" s="153"/>
      <c r="C38" s="154"/>
      <c r="D38" s="154"/>
      <c r="E38" s="154"/>
      <c r="F38" s="154"/>
      <c r="G38" s="155"/>
      <c r="H38" s="55"/>
      <c r="I38" s="55"/>
      <c r="J38" s="55"/>
      <c r="K38" s="55"/>
      <c r="L38" s="55"/>
      <c r="M38" s="55"/>
      <c r="N38" s="55"/>
      <c r="O38" s="55"/>
    </row>
    <row r="39" spans="2:19" ht="15.75" customHeight="1" x14ac:dyDescent="0.25">
      <c r="B39" s="353" t="s">
        <v>97</v>
      </c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53"/>
      <c r="N39" s="55"/>
      <c r="O39" s="54"/>
    </row>
    <row r="40" spans="2:19" ht="15.75" customHeight="1" x14ac:dyDescent="0.25"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353"/>
      <c r="N40" s="55"/>
      <c r="O40" s="54"/>
    </row>
    <row r="41" spans="2:19" ht="24.75" customHeight="1" x14ac:dyDescent="0.25"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353"/>
      <c r="N41" s="55"/>
      <c r="O41" s="54"/>
    </row>
    <row r="42" spans="2:19" ht="15.75" customHeight="1" x14ac:dyDescent="0.2">
      <c r="D42" s="374"/>
      <c r="E42" s="374"/>
      <c r="F42" s="374"/>
      <c r="G42" s="374"/>
      <c r="H42" s="374"/>
      <c r="I42" s="374"/>
      <c r="J42" s="374"/>
      <c r="K42" s="52"/>
      <c r="L42" s="53"/>
      <c r="M42" s="52"/>
      <c r="N42" s="53"/>
      <c r="O42" s="52"/>
      <c r="P42" s="52"/>
      <c r="Q42" s="52"/>
      <c r="R42" s="52"/>
      <c r="S42" s="52"/>
    </row>
    <row r="43" spans="2:19" ht="15.75" hidden="1" customHeight="1" x14ac:dyDescent="0.25">
      <c r="C43" s="354" t="s">
        <v>16</v>
      </c>
      <c r="D43" s="354"/>
      <c r="E43" s="355" t="s">
        <v>17</v>
      </c>
      <c r="F43" s="356"/>
      <c r="G43" s="357"/>
      <c r="H43" s="358" t="s">
        <v>18</v>
      </c>
      <c r="I43" s="358"/>
      <c r="J43" s="296" t="s">
        <v>8</v>
      </c>
      <c r="K43" s="48"/>
      <c r="L43" s="48"/>
      <c r="N43" s="48"/>
    </row>
    <row r="44" spans="2:19" ht="15.75" hidden="1" customHeight="1" x14ac:dyDescent="0.25">
      <c r="C44" s="359" t="s">
        <v>19</v>
      </c>
      <c r="D44" s="359"/>
      <c r="E44" s="355"/>
      <c r="F44" s="356"/>
      <c r="G44" s="357"/>
      <c r="H44" s="360"/>
      <c r="I44" s="360"/>
      <c r="J44" s="44"/>
      <c r="K44" s="48"/>
      <c r="L44" s="45"/>
      <c r="N44" s="47"/>
    </row>
    <row r="45" spans="2:19" ht="15.75" hidden="1" customHeight="1" x14ac:dyDescent="0.25">
      <c r="C45" s="358" t="s">
        <v>20</v>
      </c>
      <c r="D45" s="358"/>
      <c r="E45" s="361"/>
      <c r="F45" s="362"/>
      <c r="G45" s="363"/>
      <c r="H45" s="364"/>
      <c r="I45" s="364"/>
      <c r="J45" s="44" t="e">
        <f>H45/E45</f>
        <v>#DIV/0!</v>
      </c>
      <c r="K45" s="48"/>
      <c r="L45" s="47"/>
    </row>
    <row r="46" spans="2:19" ht="15.75" hidden="1" customHeight="1" x14ac:dyDescent="0.25">
      <c r="C46" s="358" t="s">
        <v>21</v>
      </c>
      <c r="D46" s="358"/>
      <c r="E46" s="361"/>
      <c r="F46" s="362"/>
      <c r="G46" s="363"/>
      <c r="H46" s="364"/>
      <c r="I46" s="364"/>
      <c r="J46" s="44" t="e">
        <f>H46/E46</f>
        <v>#DIV/0!</v>
      </c>
      <c r="K46" s="46"/>
      <c r="L46" s="45"/>
    </row>
    <row r="47" spans="2:19" ht="15.75" hidden="1" customHeight="1" x14ac:dyDescent="0.25">
      <c r="C47" s="358" t="s">
        <v>22</v>
      </c>
      <c r="D47" s="358"/>
      <c r="E47" s="361"/>
      <c r="F47" s="362"/>
      <c r="G47" s="363"/>
      <c r="H47" s="364"/>
      <c r="I47" s="364"/>
      <c r="J47" s="44" t="e">
        <f>H47/E47</f>
        <v>#DIV/0!</v>
      </c>
    </row>
    <row r="48" spans="2:19" ht="15.75" customHeight="1" x14ac:dyDescent="0.2">
      <c r="B48" s="299"/>
      <c r="C48" s="167"/>
      <c r="D48" s="168"/>
      <c r="E48" s="167"/>
      <c r="F48" s="167"/>
      <c r="G48" s="167"/>
      <c r="H48" s="164"/>
      <c r="I48" s="164"/>
      <c r="J48" s="165"/>
      <c r="K48" s="299"/>
      <c r="L48" s="299"/>
      <c r="M48" s="166"/>
    </row>
    <row r="49" spans="2:15" s="38" customFormat="1" ht="13.5" x14ac:dyDescent="0.25">
      <c r="B49" s="383" t="s">
        <v>23</v>
      </c>
      <c r="C49" s="383"/>
      <c r="D49" s="383"/>
      <c r="E49" s="383"/>
      <c r="F49" s="384" t="s">
        <v>24</v>
      </c>
      <c r="G49" s="384"/>
      <c r="H49" s="384"/>
      <c r="I49" s="384"/>
      <c r="J49" s="384"/>
      <c r="K49" s="169"/>
      <c r="L49" s="301" t="s">
        <v>25</v>
      </c>
      <c r="M49" s="301"/>
      <c r="N49" s="297"/>
      <c r="O49" s="297"/>
    </row>
    <row r="50" spans="2:15" s="29" customFormat="1" ht="13.5" x14ac:dyDescent="0.25">
      <c r="B50" s="300"/>
      <c r="C50" s="300"/>
      <c r="D50" s="172"/>
      <c r="E50" s="173"/>
      <c r="F50" s="174"/>
      <c r="G50" s="175"/>
      <c r="H50" s="175"/>
      <c r="I50" s="175"/>
      <c r="J50" s="176"/>
      <c r="K50" s="177"/>
      <c r="L50" s="178"/>
      <c r="M50" s="178"/>
      <c r="N50" s="33"/>
      <c r="O50" s="32"/>
    </row>
    <row r="51" spans="2:15" s="29" customFormat="1" ht="13.5" x14ac:dyDescent="0.25">
      <c r="B51" s="300"/>
      <c r="C51" s="300"/>
      <c r="D51" s="172"/>
      <c r="E51" s="173"/>
      <c r="F51" s="174"/>
      <c r="G51" s="175"/>
      <c r="H51" s="175"/>
      <c r="I51" s="175"/>
      <c r="J51" s="176"/>
      <c r="K51" s="177"/>
      <c r="L51" s="178"/>
      <c r="M51" s="178"/>
      <c r="N51" s="33"/>
      <c r="O51" s="32"/>
    </row>
    <row r="52" spans="2:15" s="29" customFormat="1" ht="26.25" customHeight="1" x14ac:dyDescent="0.25">
      <c r="B52" s="381" t="s">
        <v>98</v>
      </c>
      <c r="C52" s="381"/>
      <c r="D52" s="381"/>
      <c r="E52" s="381"/>
      <c r="F52" s="382" t="s">
        <v>100</v>
      </c>
      <c r="G52" s="382"/>
      <c r="H52" s="382"/>
      <c r="I52" s="382"/>
      <c r="J52" s="382"/>
      <c r="K52" s="180" t="s">
        <v>99</v>
      </c>
      <c r="L52" s="181"/>
      <c r="M52" s="181"/>
      <c r="N52" s="30"/>
      <c r="O52" s="30"/>
    </row>
    <row r="53" spans="2:15" s="23" customFormat="1" ht="15.75" customHeight="1" x14ac:dyDescent="0.3">
      <c r="B53" s="376" t="s">
        <v>66</v>
      </c>
      <c r="C53" s="376"/>
      <c r="D53" s="376"/>
      <c r="E53" s="376"/>
      <c r="F53" s="298"/>
      <c r="G53" s="377" t="s">
        <v>65</v>
      </c>
      <c r="H53" s="377"/>
      <c r="I53" s="377"/>
      <c r="J53" s="183"/>
      <c r="K53" s="377" t="s">
        <v>95</v>
      </c>
      <c r="L53" s="377"/>
      <c r="M53" s="377"/>
      <c r="N53" s="377"/>
    </row>
    <row r="54" spans="2:15" s="23" customFormat="1" ht="15.75" customHeight="1" x14ac:dyDescent="0.3">
      <c r="B54" s="184"/>
      <c r="C54" s="378" t="s">
        <v>107</v>
      </c>
      <c r="D54" s="378"/>
      <c r="E54" s="298"/>
      <c r="F54" s="299"/>
      <c r="G54" s="379" t="s">
        <v>111</v>
      </c>
      <c r="H54" s="379"/>
      <c r="I54" s="379"/>
      <c r="J54" s="379"/>
      <c r="K54" s="378" t="s">
        <v>110</v>
      </c>
      <c r="L54" s="378"/>
      <c r="M54" s="378"/>
      <c r="N54" s="378"/>
    </row>
    <row r="55" spans="2:15" ht="15.75" customHeight="1" x14ac:dyDescent="0.2">
      <c r="B55" s="5"/>
      <c r="C55" s="17"/>
      <c r="D55" s="17"/>
      <c r="E55" s="17"/>
      <c r="H55" s="17"/>
      <c r="I55" s="17"/>
      <c r="K55" s="17"/>
      <c r="L55" s="17"/>
      <c r="M55" s="17"/>
      <c r="N55" s="17"/>
    </row>
    <row r="56" spans="2:15" ht="15.75" customHeight="1" x14ac:dyDescent="0.2"/>
    <row r="57" spans="2:15" ht="15.75" customHeight="1" x14ac:dyDescent="0.2">
      <c r="B57" s="22" t="s">
        <v>64</v>
      </c>
    </row>
    <row r="58" spans="2:15" ht="15.75" customHeight="1" x14ac:dyDescent="0.2">
      <c r="B58" s="22"/>
    </row>
    <row r="59" spans="2:15" ht="15.75" customHeight="1" x14ac:dyDescent="0.2">
      <c r="B59" s="22"/>
    </row>
    <row r="60" spans="2:15" ht="15.75" customHeight="1" x14ac:dyDescent="0.25">
      <c r="B60" s="346" t="s">
        <v>0</v>
      </c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  <c r="O60" s="346"/>
    </row>
    <row r="61" spans="2:15" ht="15.75" customHeight="1" x14ac:dyDescent="0.2">
      <c r="C61" s="21"/>
      <c r="D61" s="21"/>
      <c r="E61" s="21"/>
      <c r="F61" s="21"/>
      <c r="G61" s="21"/>
      <c r="H61" s="21"/>
      <c r="I61" s="21"/>
    </row>
    <row r="62" spans="2:15" s="19" customFormat="1" ht="15.75" customHeight="1" x14ac:dyDescent="0.25">
      <c r="B62" s="321" t="s">
        <v>63</v>
      </c>
      <c r="C62" s="321"/>
      <c r="D62" s="321"/>
      <c r="E62" s="292"/>
      <c r="F62" s="321" t="s">
        <v>62</v>
      </c>
      <c r="G62" s="321"/>
      <c r="H62" s="321"/>
      <c r="I62" s="321"/>
      <c r="J62" s="321"/>
      <c r="K62" s="321"/>
      <c r="L62" s="321"/>
      <c r="M62" s="321"/>
      <c r="N62" s="321"/>
      <c r="O62" s="321"/>
    </row>
    <row r="63" spans="2:15" ht="15.75" customHeight="1" x14ac:dyDescent="0.2">
      <c r="B63" s="17"/>
      <c r="C63" s="17"/>
      <c r="D63" s="18"/>
      <c r="E63" s="18"/>
      <c r="G63" s="17"/>
      <c r="H63" s="17"/>
      <c r="I63" s="17"/>
    </row>
    <row r="64" spans="2:15" ht="15.75" customHeight="1" x14ac:dyDescent="0.2">
      <c r="B64" s="16" t="s">
        <v>61</v>
      </c>
      <c r="C64" s="14"/>
      <c r="D64" s="14"/>
      <c r="E64" s="14"/>
      <c r="F64" s="347" t="s">
        <v>60</v>
      </c>
      <c r="G64" s="347"/>
      <c r="H64" s="347"/>
      <c r="I64" s="347"/>
      <c r="J64" s="347"/>
    </row>
    <row r="65" spans="2:15" ht="5.0999999999999996" customHeight="1" x14ac:dyDescent="0.2">
      <c r="B65" s="295"/>
      <c r="C65" s="295"/>
      <c r="D65" s="295"/>
      <c r="E65" s="295"/>
      <c r="F65" s="295"/>
      <c r="G65" s="10"/>
      <c r="H65" s="10"/>
    </row>
    <row r="66" spans="2:15" ht="15.75" customHeight="1" x14ac:dyDescent="0.25">
      <c r="B66" s="348" t="s">
        <v>59</v>
      </c>
      <c r="C66" s="348"/>
      <c r="D66" s="14"/>
      <c r="E66" s="14"/>
      <c r="F66" s="347" t="s">
        <v>58</v>
      </c>
      <c r="G66" s="347"/>
      <c r="H66" s="347"/>
      <c r="I66" s="347"/>
      <c r="J66" s="347"/>
      <c r="K66" s="13"/>
      <c r="L66" s="13"/>
      <c r="M66" s="13"/>
      <c r="N66" s="13"/>
      <c r="O66" s="13"/>
    </row>
    <row r="67" spans="2:15" ht="5.0999999999999996" customHeight="1" x14ac:dyDescent="0.2">
      <c r="B67" s="5"/>
      <c r="C67" s="5"/>
    </row>
    <row r="68" spans="2:15" ht="15.75" customHeight="1" x14ac:dyDescent="0.25">
      <c r="B68" s="3" t="s">
        <v>57</v>
      </c>
      <c r="C68" s="3"/>
      <c r="F68" s="2" t="s">
        <v>56</v>
      </c>
    </row>
    <row r="69" spans="2:15" ht="5.0999999999999996" customHeight="1" x14ac:dyDescent="0.2">
      <c r="B69" s="5"/>
      <c r="C69" s="5"/>
    </row>
    <row r="70" spans="2:15" ht="47.25" customHeight="1" x14ac:dyDescent="0.25">
      <c r="B70" s="11" t="s">
        <v>55</v>
      </c>
      <c r="C70" s="3"/>
      <c r="F70" s="349" t="s">
        <v>54</v>
      </c>
      <c r="G70" s="349"/>
      <c r="H70" s="349"/>
      <c r="I70" s="349"/>
      <c r="J70" s="349"/>
      <c r="K70" s="349"/>
      <c r="L70" s="349"/>
      <c r="M70" s="349"/>
      <c r="N70" s="349"/>
      <c r="O70" s="349"/>
    </row>
    <row r="71" spans="2:15" ht="5.0999999999999996" customHeight="1" x14ac:dyDescent="0.2">
      <c r="B71" s="5"/>
      <c r="C71" s="5"/>
      <c r="F71" s="12"/>
    </row>
    <row r="72" spans="2:15" ht="47.25" customHeight="1" x14ac:dyDescent="0.25">
      <c r="B72" s="11" t="s">
        <v>53</v>
      </c>
      <c r="C72" s="3"/>
      <c r="F72" s="350" t="s">
        <v>52</v>
      </c>
      <c r="G72" s="350"/>
      <c r="H72" s="350"/>
      <c r="I72" s="350"/>
      <c r="J72" s="350"/>
      <c r="K72" s="350"/>
      <c r="L72" s="350"/>
      <c r="M72" s="350"/>
      <c r="N72" s="350"/>
      <c r="O72" s="350"/>
    </row>
    <row r="73" spans="2:15" ht="5.0999999999999996" customHeight="1" x14ac:dyDescent="0.25">
      <c r="B73" s="5"/>
      <c r="C73" s="5"/>
      <c r="F73" s="2"/>
    </row>
    <row r="74" spans="2:15" ht="49.5" customHeight="1" x14ac:dyDescent="0.25">
      <c r="B74" s="11" t="s">
        <v>6</v>
      </c>
      <c r="C74" s="3"/>
      <c r="F74" s="351" t="s">
        <v>51</v>
      </c>
      <c r="G74" s="351"/>
      <c r="H74" s="351"/>
      <c r="I74" s="351"/>
      <c r="J74" s="351"/>
      <c r="K74" s="351"/>
      <c r="L74" s="351"/>
      <c r="M74" s="351"/>
      <c r="N74" s="351"/>
      <c r="O74" s="351"/>
    </row>
    <row r="75" spans="2:15" ht="5.0999999999999996" customHeight="1" x14ac:dyDescent="0.25">
      <c r="B75" s="5"/>
      <c r="C75" s="5"/>
      <c r="F75" s="2"/>
    </row>
    <row r="76" spans="2:15" ht="49.5" customHeight="1" x14ac:dyDescent="0.25">
      <c r="B76" s="11" t="s">
        <v>50</v>
      </c>
      <c r="C76" s="3"/>
      <c r="F76" s="351" t="s">
        <v>49</v>
      </c>
      <c r="G76" s="351"/>
      <c r="H76" s="351"/>
      <c r="I76" s="351"/>
      <c r="J76" s="351"/>
      <c r="K76" s="351"/>
      <c r="L76" s="351"/>
      <c r="M76" s="351"/>
      <c r="N76" s="351"/>
      <c r="O76" s="351"/>
    </row>
    <row r="77" spans="2:15" ht="5.0999999999999996" customHeight="1" x14ac:dyDescent="0.2">
      <c r="B77" s="10"/>
      <c r="C77" s="10"/>
    </row>
    <row r="78" spans="2:15" ht="30.75" customHeight="1" x14ac:dyDescent="0.25">
      <c r="B78" s="9" t="s">
        <v>8</v>
      </c>
      <c r="C78" s="3"/>
      <c r="F78" s="349" t="s">
        <v>48</v>
      </c>
      <c r="G78" s="352"/>
      <c r="H78" s="352"/>
      <c r="I78" s="352"/>
      <c r="J78" s="352"/>
      <c r="K78" s="352"/>
      <c r="L78" s="352"/>
      <c r="M78" s="352"/>
      <c r="N78" s="352"/>
      <c r="O78" s="352"/>
    </row>
    <row r="79" spans="2:15" ht="5.0999999999999996" customHeight="1" x14ac:dyDescent="0.2">
      <c r="B79" s="5"/>
      <c r="C79" s="5"/>
    </row>
    <row r="80" spans="2:15" ht="15.75" customHeight="1" x14ac:dyDescent="0.25">
      <c r="B80" s="3" t="s">
        <v>47</v>
      </c>
      <c r="C80" s="3"/>
      <c r="F80" s="2" t="s">
        <v>46</v>
      </c>
    </row>
    <row r="81" spans="2:15" ht="5.0999999999999996" customHeight="1" x14ac:dyDescent="0.2">
      <c r="B81" s="5"/>
      <c r="C81" s="5"/>
    </row>
    <row r="82" spans="2:15" ht="15.75" customHeight="1" x14ac:dyDescent="0.25">
      <c r="B82" s="8" t="s">
        <v>45</v>
      </c>
      <c r="C82" s="3"/>
      <c r="F82" s="7" t="s">
        <v>44</v>
      </c>
    </row>
    <row r="83" spans="2:15" ht="5.0999999999999996" customHeight="1" x14ac:dyDescent="0.2">
      <c r="B83" s="5"/>
      <c r="C83" s="5"/>
    </row>
    <row r="84" spans="2:15" ht="15.75" customHeight="1" x14ac:dyDescent="0.25">
      <c r="B84" s="3" t="s">
        <v>43</v>
      </c>
      <c r="C84" s="3"/>
      <c r="F84" s="2" t="s">
        <v>42</v>
      </c>
    </row>
    <row r="85" spans="2:15" ht="5.0999999999999996" customHeight="1" x14ac:dyDescent="0.2">
      <c r="B85" s="5"/>
      <c r="C85" s="5"/>
    </row>
    <row r="86" spans="2:15" ht="15.75" customHeight="1" x14ac:dyDescent="0.25">
      <c r="B86" s="3" t="s">
        <v>41</v>
      </c>
      <c r="C86" s="3"/>
      <c r="F86" s="2" t="s">
        <v>40</v>
      </c>
    </row>
    <row r="87" spans="2:15" ht="5.0999999999999996" customHeight="1" x14ac:dyDescent="0.25">
      <c r="B87" s="3"/>
      <c r="C87" s="3"/>
      <c r="F87" s="2"/>
    </row>
    <row r="88" spans="2:15" ht="15.75" customHeight="1" x14ac:dyDescent="0.25">
      <c r="B88" s="8" t="s">
        <v>39</v>
      </c>
      <c r="C88" s="3"/>
      <c r="F88" s="7" t="s">
        <v>38</v>
      </c>
    </row>
    <row r="89" spans="2:15" ht="5.0999999999999996" customHeight="1" x14ac:dyDescent="0.2">
      <c r="B89" s="5"/>
      <c r="C89" s="5"/>
    </row>
    <row r="90" spans="2:15" ht="37.5" customHeight="1" x14ac:dyDescent="0.25">
      <c r="B90" s="6" t="s">
        <v>37</v>
      </c>
      <c r="C90" s="3"/>
      <c r="F90" s="344" t="s">
        <v>36</v>
      </c>
      <c r="G90" s="345"/>
      <c r="H90" s="345"/>
      <c r="I90" s="345"/>
      <c r="J90" s="345"/>
      <c r="K90" s="345"/>
      <c r="L90" s="345"/>
      <c r="M90" s="345"/>
      <c r="N90" s="345"/>
      <c r="O90" s="345"/>
    </row>
    <row r="91" spans="2:15" ht="5.0999999999999996" customHeight="1" x14ac:dyDescent="0.2">
      <c r="B91" s="5"/>
      <c r="C91" s="5"/>
    </row>
    <row r="92" spans="2:15" ht="15.75" customHeight="1" x14ac:dyDescent="0.25">
      <c r="B92" s="3" t="s">
        <v>35</v>
      </c>
      <c r="C92" s="3"/>
      <c r="F92" s="2" t="s">
        <v>34</v>
      </c>
    </row>
    <row r="93" spans="2:15" ht="5.0999999999999996" customHeight="1" x14ac:dyDescent="0.2">
      <c r="B93" s="5"/>
      <c r="C93" s="5"/>
    </row>
    <row r="94" spans="2:15" ht="15.75" customHeight="1" x14ac:dyDescent="0.25">
      <c r="B94" s="3" t="s">
        <v>33</v>
      </c>
      <c r="C94" s="3"/>
      <c r="F94" s="2" t="s">
        <v>32</v>
      </c>
    </row>
    <row r="95" spans="2:15" ht="5.0999999999999996" customHeight="1" x14ac:dyDescent="0.2">
      <c r="B95" s="5"/>
      <c r="C95" s="5"/>
    </row>
    <row r="96" spans="2:15" ht="15.75" customHeight="1" x14ac:dyDescent="0.25">
      <c r="B96" s="3" t="s">
        <v>31</v>
      </c>
      <c r="C96" s="3"/>
      <c r="F96" s="2" t="s">
        <v>30</v>
      </c>
    </row>
    <row r="97" spans="2:6" ht="5.0999999999999996" customHeight="1" x14ac:dyDescent="0.2">
      <c r="B97" s="5"/>
      <c r="C97" s="5"/>
    </row>
    <row r="98" spans="2:6" ht="15.75" customHeight="1" x14ac:dyDescent="0.25">
      <c r="B98" s="3" t="s">
        <v>29</v>
      </c>
      <c r="C98" s="3"/>
      <c r="F98" s="2" t="s">
        <v>28</v>
      </c>
    </row>
    <row r="99" spans="2:6" ht="5.0999999999999996" customHeight="1" x14ac:dyDescent="0.2">
      <c r="B99" s="5"/>
      <c r="C99" s="5"/>
    </row>
    <row r="100" spans="2:6" ht="15.75" customHeight="1" x14ac:dyDescent="0.25">
      <c r="B100" s="4" t="s">
        <v>14</v>
      </c>
      <c r="C100" s="3"/>
      <c r="F100" s="2" t="s">
        <v>27</v>
      </c>
    </row>
  </sheetData>
  <mergeCells count="55">
    <mergeCell ref="D12:D13"/>
    <mergeCell ref="E12:E13"/>
    <mergeCell ref="F12:F13"/>
    <mergeCell ref="B4:O4"/>
    <mergeCell ref="B6:O6"/>
    <mergeCell ref="E7:J7"/>
    <mergeCell ref="D11:H11"/>
    <mergeCell ref="I11:L11"/>
    <mergeCell ref="C44:D44"/>
    <mergeCell ref="E44:G44"/>
    <mergeCell ref="H44:I44"/>
    <mergeCell ref="G12:G13"/>
    <mergeCell ref="H12:H13"/>
    <mergeCell ref="I12:I13"/>
    <mergeCell ref="B39:M41"/>
    <mergeCell ref="D42:J42"/>
    <mergeCell ref="C43:D43"/>
    <mergeCell ref="E43:G43"/>
    <mergeCell ref="H43:I43"/>
    <mergeCell ref="J12:J13"/>
    <mergeCell ref="K12:K13"/>
    <mergeCell ref="L12:L13"/>
    <mergeCell ref="B12:B13"/>
    <mergeCell ref="C12:C13"/>
    <mergeCell ref="B52:E52"/>
    <mergeCell ref="F52:J52"/>
    <mergeCell ref="C45:D45"/>
    <mergeCell ref="E45:G45"/>
    <mergeCell ref="H45:I45"/>
    <mergeCell ref="C46:D46"/>
    <mergeCell ref="E46:G46"/>
    <mergeCell ref="H46:I46"/>
    <mergeCell ref="C47:D47"/>
    <mergeCell ref="E47:G47"/>
    <mergeCell ref="H47:I47"/>
    <mergeCell ref="B49:E49"/>
    <mergeCell ref="F49:J49"/>
    <mergeCell ref="B53:E53"/>
    <mergeCell ref="G53:I53"/>
    <mergeCell ref="K53:N53"/>
    <mergeCell ref="C54:D54"/>
    <mergeCell ref="G54:J54"/>
    <mergeCell ref="K54:N54"/>
    <mergeCell ref="F90:O90"/>
    <mergeCell ref="B60:O60"/>
    <mergeCell ref="B62:D62"/>
    <mergeCell ref="F62:O62"/>
    <mergeCell ref="F64:J64"/>
    <mergeCell ref="B66:C66"/>
    <mergeCell ref="F66:J66"/>
    <mergeCell ref="F70:O70"/>
    <mergeCell ref="F72:O72"/>
    <mergeCell ref="F74:O74"/>
    <mergeCell ref="F76:O76"/>
    <mergeCell ref="F78:O78"/>
  </mergeCells>
  <pageMargins left="0.62992125984251968" right="0.62992125984251968" top="0.39370078740157483" bottom="0.23622047244094491" header="0" footer="0"/>
  <pageSetup scale="70" orientation="landscape" r:id="rId1"/>
  <headerFooter alignWithMargins="0">
    <oddFooter>&amp;R</oddFooter>
  </headerFooter>
  <rowBreaks count="1" manualBreakCount="1"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4:S96"/>
  <sheetViews>
    <sheetView showGridLines="0" topLeftCell="B10" zoomScale="130" zoomScaleNormal="130" zoomScaleSheetLayoutView="100" workbookViewId="0">
      <selection activeCell="J19" sqref="J19"/>
    </sheetView>
  </sheetViews>
  <sheetFormatPr baseColWidth="10" defaultRowHeight="12.75" x14ac:dyDescent="0.2"/>
  <cols>
    <col min="1" max="1" width="26.710937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86"/>
      <c r="B7" s="86"/>
      <c r="C7" s="86"/>
      <c r="D7" s="321" t="s">
        <v>96</v>
      </c>
      <c r="E7" s="321"/>
      <c r="F7" s="321"/>
      <c r="G7" s="321"/>
      <c r="H7" s="321"/>
      <c r="I7" s="321"/>
      <c r="J7" s="86"/>
      <c r="K7" s="86"/>
      <c r="L7" s="86"/>
      <c r="M7" s="86"/>
      <c r="N7" s="86"/>
    </row>
    <row r="8" spans="1:14" ht="15.75" customHeight="1" x14ac:dyDescent="0.25">
      <c r="A8" s="85"/>
      <c r="B8" s="84"/>
      <c r="C8" s="84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1:14" ht="15.75" hidden="1" customHeight="1" x14ac:dyDescent="0.25">
      <c r="A9" s="85" t="s">
        <v>1</v>
      </c>
      <c r="B9" s="84"/>
      <c r="C9" s="84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</row>
    <row r="10" spans="1:14" ht="15.75" customHeight="1" x14ac:dyDescent="0.2">
      <c r="B10" s="5"/>
      <c r="C10" s="83"/>
      <c r="D10" s="5"/>
      <c r="E10" s="2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95"/>
      <c r="M12" s="95"/>
      <c r="N12" s="94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95"/>
      <c r="M13" s="95"/>
      <c r="N13" s="79" t="s">
        <v>15</v>
      </c>
    </row>
    <row r="14" spans="1:14" ht="15.75" customHeight="1" x14ac:dyDescent="0.25">
      <c r="A14" s="77" t="s">
        <v>81</v>
      </c>
      <c r="B14" s="78"/>
      <c r="C14" s="73">
        <v>2573926.61</v>
      </c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73">
        <v>0</v>
      </c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73">
        <v>1315272.67</v>
      </c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73">
        <v>576782.04</v>
      </c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73">
        <v>0</v>
      </c>
      <c r="D18" s="58"/>
      <c r="F18" s="60"/>
      <c r="G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/>
      <c r="C19" s="73">
        <f>SUM(C14:C18)</f>
        <v>4465981.32</v>
      </c>
      <c r="D19" s="58"/>
      <c r="E19" s="58">
        <v>2739759.72</v>
      </c>
      <c r="F19" s="73"/>
      <c r="G19" s="111">
        <f>+C19+D19-E19</f>
        <v>1726221.6</v>
      </c>
      <c r="H19" s="56">
        <f>1246413.52+341290.08</f>
        <v>1587703.6</v>
      </c>
      <c r="I19" s="56">
        <f>150000+12</f>
        <v>150012</v>
      </c>
      <c r="J19" s="56">
        <f>9937+0.4+1556.6</f>
        <v>11494</v>
      </c>
      <c r="K19" s="56">
        <f>+H19+I19-J19</f>
        <v>1726221.6</v>
      </c>
      <c r="L19" s="73">
        <f>+G19-K19</f>
        <v>0</v>
      </c>
      <c r="M19" s="56">
        <f>G19-K19</f>
        <v>0</v>
      </c>
      <c r="N19" s="72"/>
      <c r="O19" s="68"/>
    </row>
    <row r="20" spans="1:19" ht="15.75" customHeight="1" x14ac:dyDescent="0.25">
      <c r="A20" s="62" t="s">
        <v>75</v>
      </c>
      <c r="B20" s="61">
        <v>16873510</v>
      </c>
      <c r="C20" s="61">
        <v>2716697.69</v>
      </c>
      <c r="D20" s="58"/>
      <c r="E20" s="58">
        <v>1625358.28</v>
      </c>
      <c r="F20" s="60">
        <f t="shared" ref="F20:F30" si="0">E20/C20</f>
        <v>0.59828455922160406</v>
      </c>
      <c r="G20" s="56">
        <f t="shared" ref="G20:G32" si="1">+C20+D20-E20</f>
        <v>1091339.4099999999</v>
      </c>
      <c r="H20" s="56">
        <v>1094983.4099999999</v>
      </c>
      <c r="I20" s="56">
        <v>0</v>
      </c>
      <c r="J20" s="56">
        <f>1+76774-1.15</f>
        <v>76773.850000000006</v>
      </c>
      <c r="K20" s="56">
        <f t="shared" ref="K20:K33" si="2">+H20+I20-J20</f>
        <v>1018209.5599999999</v>
      </c>
      <c r="L20" s="73">
        <f t="shared" ref="L20:L33" si="3">+G20-K20</f>
        <v>73129.849999999977</v>
      </c>
      <c r="M20" s="56">
        <f t="shared" ref="M20:M33" si="4">G20-K20</f>
        <v>73129.849999999977</v>
      </c>
      <c r="N20" s="60">
        <f t="shared" ref="N20:N29" si="5">E20/B20</f>
        <v>9.6326032935648842E-2</v>
      </c>
      <c r="O20" s="70"/>
      <c r="P20" s="71"/>
      <c r="Q20" s="48"/>
    </row>
    <row r="21" spans="1:19" ht="15.75" customHeight="1" x14ac:dyDescent="0.25">
      <c r="A21" s="62" t="s">
        <v>74</v>
      </c>
      <c r="B21" s="61">
        <v>7436006</v>
      </c>
      <c r="C21" s="61">
        <v>1294071.78</v>
      </c>
      <c r="D21" s="58"/>
      <c r="E21" s="58">
        <v>1141866.76</v>
      </c>
      <c r="F21" s="60">
        <f t="shared" si="0"/>
        <v>0.88238286132783139</v>
      </c>
      <c r="G21" s="56">
        <f t="shared" si="1"/>
        <v>152205.02000000002</v>
      </c>
      <c r="H21" s="56">
        <v>284873.52</v>
      </c>
      <c r="I21" s="56">
        <v>0</v>
      </c>
      <c r="J21" s="56">
        <f>1+39623+4056</f>
        <v>43680</v>
      </c>
      <c r="K21" s="56">
        <f t="shared" si="2"/>
        <v>241193.52000000002</v>
      </c>
      <c r="L21" s="73">
        <f t="shared" si="3"/>
        <v>-88988.5</v>
      </c>
      <c r="M21" s="56">
        <f t="shared" si="4"/>
        <v>-88988.5</v>
      </c>
      <c r="N21" s="60">
        <f t="shared" si="5"/>
        <v>0.15355914989848046</v>
      </c>
      <c r="O21" s="70"/>
      <c r="P21" s="69"/>
      <c r="Q21" s="45"/>
    </row>
    <row r="22" spans="1:19" ht="15.75" customHeight="1" x14ac:dyDescent="0.25">
      <c r="A22" s="62" t="s">
        <v>73</v>
      </c>
      <c r="B22" s="61">
        <v>281545</v>
      </c>
      <c r="C22" s="63">
        <v>72950.8</v>
      </c>
      <c r="D22" s="104"/>
      <c r="E22" s="58">
        <v>0</v>
      </c>
      <c r="F22" s="60">
        <f>E22/C22</f>
        <v>0</v>
      </c>
      <c r="G22" s="56">
        <f>+C22+D22-E22</f>
        <v>72950.8</v>
      </c>
      <c r="H22" s="56">
        <v>72951.8</v>
      </c>
      <c r="I22" s="56">
        <v>0</v>
      </c>
      <c r="J22" s="56">
        <v>1</v>
      </c>
      <c r="K22" s="56">
        <f t="shared" si="2"/>
        <v>72950.8</v>
      </c>
      <c r="L22" s="73">
        <f t="shared" si="3"/>
        <v>0</v>
      </c>
      <c r="M22" s="56">
        <f t="shared" si="4"/>
        <v>0</v>
      </c>
      <c r="N22" s="60">
        <f t="shared" si="5"/>
        <v>0</v>
      </c>
      <c r="O22" s="68"/>
    </row>
    <row r="23" spans="1:19" ht="15.75" customHeight="1" x14ac:dyDescent="0.25">
      <c r="A23" s="62" t="s">
        <v>86</v>
      </c>
      <c r="B23" s="61">
        <v>824025</v>
      </c>
      <c r="C23" s="61">
        <v>154068.54</v>
      </c>
      <c r="D23" s="58"/>
      <c r="E23" s="58">
        <v>67311.320000000007</v>
      </c>
      <c r="F23" s="60">
        <f t="shared" ref="F23:F25" si="6">E23/C23</f>
        <v>0.43689204817544192</v>
      </c>
      <c r="G23" s="56">
        <f>+C23+D23-E23</f>
        <v>86757.22</v>
      </c>
      <c r="H23" s="56">
        <v>87770.36</v>
      </c>
      <c r="I23" s="56">
        <v>0</v>
      </c>
      <c r="J23" s="56">
        <f>1</f>
        <v>1</v>
      </c>
      <c r="K23" s="56">
        <f t="shared" si="2"/>
        <v>87769.36</v>
      </c>
      <c r="L23" s="73">
        <f t="shared" si="3"/>
        <v>-1012.1399999999994</v>
      </c>
      <c r="M23" s="56">
        <f t="shared" si="4"/>
        <v>-1012.1399999999994</v>
      </c>
      <c r="N23" s="60">
        <f t="shared" si="5"/>
        <v>8.1686016807742498E-2</v>
      </c>
    </row>
    <row r="24" spans="1:19" ht="15.75" customHeight="1" x14ac:dyDescent="0.25">
      <c r="A24" s="62" t="s">
        <v>72</v>
      </c>
      <c r="B24" s="61">
        <v>600184</v>
      </c>
      <c r="C24" s="61">
        <v>68868.34</v>
      </c>
      <c r="D24" s="58"/>
      <c r="E24" s="58">
        <v>0</v>
      </c>
      <c r="F24" s="60">
        <f t="shared" si="6"/>
        <v>0</v>
      </c>
      <c r="G24" s="56">
        <f t="shared" si="1"/>
        <v>68868.34</v>
      </c>
      <c r="H24" s="56">
        <v>68869.34</v>
      </c>
      <c r="I24" s="56">
        <v>0</v>
      </c>
      <c r="J24" s="56">
        <v>1</v>
      </c>
      <c r="K24" s="56">
        <f t="shared" si="2"/>
        <v>68868.34</v>
      </c>
      <c r="L24" s="73">
        <f t="shared" si="3"/>
        <v>0</v>
      </c>
      <c r="M24" s="56">
        <f t="shared" si="4"/>
        <v>0</v>
      </c>
      <c r="N24" s="60">
        <f t="shared" si="5"/>
        <v>0</v>
      </c>
    </row>
    <row r="25" spans="1:19" ht="15.75" customHeight="1" x14ac:dyDescent="0.25">
      <c r="A25" s="62" t="s">
        <v>93</v>
      </c>
      <c r="B25" s="61">
        <v>11851740</v>
      </c>
      <c r="C25" s="63">
        <v>1975325.65</v>
      </c>
      <c r="D25" s="104"/>
      <c r="E25" s="104">
        <v>1556659.47</v>
      </c>
      <c r="F25" s="60">
        <f t="shared" si="6"/>
        <v>0.78805207131289978</v>
      </c>
      <c r="G25" s="56">
        <f t="shared" si="1"/>
        <v>418666.17999999993</v>
      </c>
      <c r="H25" s="67">
        <v>684060.25</v>
      </c>
      <c r="I25" s="67">
        <v>0</v>
      </c>
      <c r="J25" s="67">
        <f>150001+50572+5951+5132+958.45+898.62</f>
        <v>213513.07</v>
      </c>
      <c r="K25" s="56">
        <f t="shared" si="2"/>
        <v>470547.18</v>
      </c>
      <c r="L25" s="73">
        <f t="shared" si="3"/>
        <v>-51881.000000000058</v>
      </c>
      <c r="M25" s="56">
        <f t="shared" si="4"/>
        <v>-51881.000000000058</v>
      </c>
      <c r="N25" s="66">
        <f t="shared" si="5"/>
        <v>0.13134438234385837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94</v>
      </c>
      <c r="B26" s="61">
        <v>3479677</v>
      </c>
      <c r="C26" s="58">
        <v>695968.26</v>
      </c>
      <c r="D26" s="104"/>
      <c r="E26" s="58">
        <v>0</v>
      </c>
      <c r="F26" s="66">
        <f t="shared" si="0"/>
        <v>0</v>
      </c>
      <c r="G26" s="67">
        <f>+C26+D26-E26</f>
        <v>695968.26</v>
      </c>
      <c r="H26" s="56">
        <v>695969.26</v>
      </c>
      <c r="I26" s="56">
        <v>0</v>
      </c>
      <c r="J26" s="56">
        <v>1</v>
      </c>
      <c r="K26" s="56">
        <f t="shared" si="2"/>
        <v>695968.26</v>
      </c>
      <c r="L26" s="73">
        <f t="shared" si="3"/>
        <v>0</v>
      </c>
      <c r="M26" s="56">
        <f t="shared" si="4"/>
        <v>0</v>
      </c>
      <c r="N26" s="60">
        <f t="shared" si="5"/>
        <v>0</v>
      </c>
      <c r="O26" s="64"/>
    </row>
    <row r="27" spans="1:19" ht="15.75" customHeight="1" x14ac:dyDescent="0.25">
      <c r="A27" s="62" t="s">
        <v>90</v>
      </c>
      <c r="B27" s="61"/>
      <c r="C27" s="58">
        <v>0</v>
      </c>
      <c r="D27" s="104"/>
      <c r="E27" s="58">
        <v>0</v>
      </c>
      <c r="F27" s="66">
        <v>0</v>
      </c>
      <c r="G27" s="67">
        <f>+C27+D27-E27</f>
        <v>0</v>
      </c>
      <c r="H27" s="56">
        <v>872035.46</v>
      </c>
      <c r="I27" s="56">
        <v>0</v>
      </c>
      <c r="J27" s="56">
        <v>872035.46</v>
      </c>
      <c r="K27" s="56">
        <f>+H27+I27-J27</f>
        <v>0</v>
      </c>
      <c r="L27" s="73">
        <f t="shared" si="3"/>
        <v>0</v>
      </c>
      <c r="M27" s="56">
        <f t="shared" si="4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63">
        <v>99465</v>
      </c>
      <c r="C28" s="61">
        <v>35404.660000000003</v>
      </c>
      <c r="D28" s="58"/>
      <c r="E28" s="58">
        <v>0</v>
      </c>
      <c r="F28" s="60">
        <f t="shared" si="0"/>
        <v>0</v>
      </c>
      <c r="G28" s="67">
        <f>+C28+D28-E28</f>
        <v>35404.660000000003</v>
      </c>
      <c r="H28" s="56">
        <v>35405.660000000003</v>
      </c>
      <c r="I28" s="56">
        <v>0</v>
      </c>
      <c r="J28" s="56">
        <v>1</v>
      </c>
      <c r="K28" s="56">
        <f t="shared" si="2"/>
        <v>35404.660000000003</v>
      </c>
      <c r="L28" s="73">
        <f t="shared" si="3"/>
        <v>0</v>
      </c>
      <c r="M28" s="56">
        <f t="shared" si="4"/>
        <v>0</v>
      </c>
      <c r="N28" s="60">
        <f t="shared" si="5"/>
        <v>0</v>
      </c>
    </row>
    <row r="29" spans="1:19" ht="15.75" customHeight="1" x14ac:dyDescent="0.25">
      <c r="A29" s="62" t="s">
        <v>69</v>
      </c>
      <c r="B29" s="61">
        <v>29793</v>
      </c>
      <c r="C29" s="61">
        <v>4965.74</v>
      </c>
      <c r="D29" s="58"/>
      <c r="E29" s="58">
        <v>0</v>
      </c>
      <c r="F29" s="60">
        <f t="shared" si="0"/>
        <v>0</v>
      </c>
      <c r="G29" s="56">
        <f t="shared" si="1"/>
        <v>4965.74</v>
      </c>
      <c r="H29" s="56">
        <v>4966.74</v>
      </c>
      <c r="I29" s="56">
        <v>0</v>
      </c>
      <c r="J29" s="56">
        <v>1</v>
      </c>
      <c r="K29" s="56">
        <f t="shared" si="2"/>
        <v>4965.74</v>
      </c>
      <c r="L29" s="73">
        <f t="shared" si="3"/>
        <v>0</v>
      </c>
      <c r="M29" s="56">
        <f t="shared" si="4"/>
        <v>0</v>
      </c>
      <c r="N29" s="60">
        <f t="shared" si="5"/>
        <v>0</v>
      </c>
    </row>
    <row r="30" spans="1:19" ht="15.75" customHeight="1" x14ac:dyDescent="0.25">
      <c r="A30" s="62" t="s">
        <v>26</v>
      </c>
      <c r="B30" s="61"/>
      <c r="C30" s="112">
        <v>68751.789999999994</v>
      </c>
      <c r="D30" s="58"/>
      <c r="E30" s="58">
        <v>0</v>
      </c>
      <c r="F30" s="60">
        <f t="shared" si="0"/>
        <v>0</v>
      </c>
      <c r="G30" s="56">
        <f t="shared" si="1"/>
        <v>68751.789999999994</v>
      </c>
      <c r="H30" s="56">
        <v>1</v>
      </c>
      <c r="I30" s="56">
        <v>0</v>
      </c>
      <c r="J30" s="56">
        <v>1</v>
      </c>
      <c r="K30" s="56">
        <f t="shared" si="2"/>
        <v>0</v>
      </c>
      <c r="L30" s="73">
        <f t="shared" si="3"/>
        <v>68751.789999999994</v>
      </c>
      <c r="M30" s="56">
        <f t="shared" si="4"/>
        <v>68751.789999999994</v>
      </c>
      <c r="N30" s="60">
        <v>0</v>
      </c>
    </row>
    <row r="31" spans="1:19" ht="15.75" customHeight="1" x14ac:dyDescent="0.25">
      <c r="A31" s="62" t="s">
        <v>85</v>
      </c>
      <c r="B31" s="61"/>
      <c r="C31" s="61">
        <v>0</v>
      </c>
      <c r="D31" s="58"/>
      <c r="E31" s="58">
        <v>0</v>
      </c>
      <c r="F31" s="60">
        <v>0</v>
      </c>
      <c r="G31" s="56">
        <f t="shared" si="1"/>
        <v>0</v>
      </c>
      <c r="H31" s="56">
        <v>1</v>
      </c>
      <c r="I31" s="56">
        <v>0</v>
      </c>
      <c r="J31" s="56">
        <v>1</v>
      </c>
      <c r="K31" s="56">
        <f t="shared" si="2"/>
        <v>0</v>
      </c>
      <c r="L31" s="73">
        <f t="shared" si="3"/>
        <v>0</v>
      </c>
      <c r="M31" s="56">
        <f t="shared" si="4"/>
        <v>0</v>
      </c>
      <c r="N31" s="60"/>
    </row>
    <row r="32" spans="1:19" ht="15.75" customHeight="1" x14ac:dyDescent="0.25">
      <c r="A32" s="62" t="s">
        <v>84</v>
      </c>
      <c r="B32" s="61"/>
      <c r="C32" s="61">
        <v>251971.09</v>
      </c>
      <c r="D32" s="58"/>
      <c r="E32" s="58">
        <v>0</v>
      </c>
      <c r="F32" s="60"/>
      <c r="G32" s="56">
        <f t="shared" si="1"/>
        <v>251971.09</v>
      </c>
      <c r="H32" s="56">
        <v>251972.09</v>
      </c>
      <c r="I32" s="56"/>
      <c r="J32" s="56">
        <v>1</v>
      </c>
      <c r="K32" s="56">
        <f t="shared" si="2"/>
        <v>251971.09</v>
      </c>
      <c r="L32" s="73">
        <f t="shared" si="3"/>
        <v>0</v>
      </c>
      <c r="M32" s="56">
        <f t="shared" si="4"/>
        <v>0</v>
      </c>
      <c r="N32" s="60"/>
    </row>
    <row r="33" spans="1:18" ht="15.75" customHeight="1" x14ac:dyDescent="0.25">
      <c r="A33" s="107" t="s">
        <v>92</v>
      </c>
      <c r="B33" s="108"/>
      <c r="C33" s="108"/>
      <c r="D33" s="108"/>
      <c r="E33" s="108">
        <v>0</v>
      </c>
      <c r="F33" s="109">
        <v>0</v>
      </c>
      <c r="G33" s="110">
        <f t="shared" ref="G33" si="7">C33-E33</f>
        <v>0</v>
      </c>
      <c r="H33" s="110">
        <v>173.01</v>
      </c>
      <c r="I33" s="110">
        <v>103243.35</v>
      </c>
      <c r="J33" s="110">
        <f>103243.35+173.01</f>
        <v>103416.36</v>
      </c>
      <c r="K33" s="56">
        <f t="shared" si="2"/>
        <v>0</v>
      </c>
      <c r="L33" s="73">
        <f t="shared" si="3"/>
        <v>0</v>
      </c>
      <c r="M33" s="56">
        <f t="shared" si="4"/>
        <v>0</v>
      </c>
      <c r="N33" s="60"/>
    </row>
    <row r="34" spans="1:18" ht="15.75" customHeight="1" x14ac:dyDescent="0.25">
      <c r="A34" s="59" t="s">
        <v>68</v>
      </c>
      <c r="B34" s="58">
        <f>SUM(B19:B33)</f>
        <v>41475945</v>
      </c>
      <c r="C34" s="58">
        <f>SUM(C19:C33)</f>
        <v>11805025.659999998</v>
      </c>
      <c r="D34" s="58">
        <f>SUM(D19:D33)</f>
        <v>0</v>
      </c>
      <c r="E34" s="58">
        <f>SUM(E19:E33)</f>
        <v>7130955.5499999998</v>
      </c>
      <c r="F34" s="57"/>
      <c r="G34" s="56">
        <f t="shared" ref="G34:M34" si="8">SUM(G19:G33)</f>
        <v>4674070.1099999994</v>
      </c>
      <c r="H34" s="56">
        <f t="shared" si="8"/>
        <v>5741736.4999999991</v>
      </c>
      <c r="I34" s="56">
        <f t="shared" si="8"/>
        <v>253255.35</v>
      </c>
      <c r="J34" s="56">
        <f t="shared" si="8"/>
        <v>1320921.74</v>
      </c>
      <c r="K34" s="56">
        <f t="shared" si="8"/>
        <v>4674070.1100000003</v>
      </c>
      <c r="L34" s="56">
        <f t="shared" si="8"/>
        <v>-8.7311491370201111E-11</v>
      </c>
      <c r="M34" s="56">
        <f t="shared" si="8"/>
        <v>-8.7311491370201111E-11</v>
      </c>
      <c r="N34" s="56"/>
    </row>
    <row r="35" spans="1:18" ht="15.75" customHeight="1" x14ac:dyDescent="0.25">
      <c r="A35" s="353" t="s">
        <v>97</v>
      </c>
      <c r="B35" s="353"/>
      <c r="C35" s="353"/>
      <c r="D35" s="353"/>
      <c r="E35" s="353"/>
      <c r="F35" s="353"/>
      <c r="G35" s="353"/>
      <c r="H35" s="353"/>
      <c r="I35" s="353"/>
      <c r="J35" s="353"/>
      <c r="K35" s="353"/>
      <c r="L35" s="353"/>
      <c r="M35" s="55"/>
      <c r="N35" s="54"/>
    </row>
    <row r="36" spans="1:18" ht="15.75" customHeight="1" x14ac:dyDescent="0.25">
      <c r="A36" s="353"/>
      <c r="B36" s="353"/>
      <c r="C36" s="353"/>
      <c r="D36" s="353"/>
      <c r="E36" s="353"/>
      <c r="F36" s="353"/>
      <c r="G36" s="353"/>
      <c r="H36" s="353"/>
      <c r="I36" s="353"/>
      <c r="J36" s="353"/>
      <c r="K36" s="353"/>
      <c r="L36" s="353"/>
      <c r="M36" s="55"/>
      <c r="N36" s="54"/>
    </row>
    <row r="37" spans="1:18" ht="27.75" customHeight="1" x14ac:dyDescent="0.2">
      <c r="A37" s="353"/>
      <c r="B37" s="353"/>
      <c r="C37" s="353"/>
      <c r="D37" s="353"/>
      <c r="E37" s="353"/>
      <c r="F37" s="353"/>
      <c r="G37" s="353"/>
      <c r="H37" s="353"/>
      <c r="I37" s="353"/>
      <c r="J37" s="353"/>
      <c r="K37" s="353"/>
      <c r="L37" s="353"/>
      <c r="M37" s="53"/>
      <c r="N37" s="52"/>
      <c r="O37" s="52"/>
      <c r="P37" s="52"/>
      <c r="Q37" s="52"/>
      <c r="R37" s="52"/>
    </row>
    <row r="38" spans="1:18" ht="15.75" customHeight="1" x14ac:dyDescent="0.25">
      <c r="C38" s="51"/>
      <c r="D38" s="93"/>
      <c r="E38" s="93"/>
      <c r="F38" s="93"/>
      <c r="G38" s="93"/>
      <c r="H38" s="50"/>
      <c r="I38" s="49"/>
      <c r="K38" s="45"/>
      <c r="M38" s="48"/>
    </row>
    <row r="39" spans="1:18" ht="15.75" hidden="1" customHeight="1" x14ac:dyDescent="0.25">
      <c r="B39" s="354" t="s">
        <v>16</v>
      </c>
      <c r="C39" s="354"/>
      <c r="D39" s="355" t="s">
        <v>17</v>
      </c>
      <c r="E39" s="356"/>
      <c r="F39" s="357"/>
      <c r="G39" s="358" t="s">
        <v>18</v>
      </c>
      <c r="H39" s="358"/>
      <c r="I39" s="91" t="s">
        <v>8</v>
      </c>
      <c r="K39" s="48"/>
      <c r="M39" s="48"/>
    </row>
    <row r="40" spans="1:18" ht="15.75" hidden="1" customHeight="1" x14ac:dyDescent="0.25">
      <c r="B40" s="359" t="s">
        <v>19</v>
      </c>
      <c r="C40" s="359"/>
      <c r="D40" s="355"/>
      <c r="E40" s="356"/>
      <c r="F40" s="357"/>
      <c r="G40" s="360"/>
      <c r="H40" s="360"/>
      <c r="I40" s="44"/>
      <c r="J40" s="48"/>
      <c r="K40" s="45"/>
      <c r="M40" s="47"/>
    </row>
    <row r="41" spans="1:18" ht="15.75" hidden="1" customHeight="1" x14ac:dyDescent="0.25">
      <c r="B41" s="358" t="s">
        <v>20</v>
      </c>
      <c r="C41" s="358"/>
      <c r="D41" s="361"/>
      <c r="E41" s="362"/>
      <c r="F41" s="363"/>
      <c r="G41" s="364"/>
      <c r="H41" s="364"/>
      <c r="I41" s="44" t="e">
        <f>G41/D41</f>
        <v>#DIV/0!</v>
      </c>
      <c r="J41" s="48"/>
      <c r="K41" s="47"/>
    </row>
    <row r="42" spans="1:18" ht="15.75" hidden="1" customHeight="1" x14ac:dyDescent="0.25">
      <c r="B42" s="358" t="s">
        <v>21</v>
      </c>
      <c r="C42" s="358"/>
      <c r="D42" s="361"/>
      <c r="E42" s="362"/>
      <c r="F42" s="363"/>
      <c r="G42" s="364"/>
      <c r="H42" s="364"/>
      <c r="I42" s="44" t="e">
        <f>G42/D42</f>
        <v>#DIV/0!</v>
      </c>
      <c r="J42" s="46"/>
      <c r="K42" s="45"/>
    </row>
    <row r="43" spans="1:18" ht="15.75" hidden="1" customHeight="1" x14ac:dyDescent="0.25">
      <c r="B43" s="358" t="s">
        <v>22</v>
      </c>
      <c r="C43" s="358"/>
      <c r="D43" s="361"/>
      <c r="E43" s="362"/>
      <c r="F43" s="363"/>
      <c r="G43" s="364"/>
      <c r="H43" s="364"/>
      <c r="I43" s="44" t="e">
        <f>G43/D43</f>
        <v>#DIV/0!</v>
      </c>
    </row>
    <row r="44" spans="1:18" ht="15.75" customHeight="1" x14ac:dyDescent="0.25">
      <c r="B44" s="42"/>
      <c r="C44" s="43"/>
      <c r="D44" s="42"/>
      <c r="E44" s="42"/>
      <c r="F44" s="42"/>
      <c r="G44" s="41"/>
      <c r="H44" s="41"/>
      <c r="I44" s="40"/>
    </row>
    <row r="45" spans="1:18" s="38" customFormat="1" x14ac:dyDescent="0.25">
      <c r="A45" s="365" t="s">
        <v>23</v>
      </c>
      <c r="B45" s="365"/>
      <c r="C45" s="365"/>
      <c r="D45" s="365"/>
      <c r="E45" s="366" t="s">
        <v>24</v>
      </c>
      <c r="F45" s="366"/>
      <c r="G45" s="366"/>
      <c r="H45" s="366"/>
      <c r="I45" s="366"/>
      <c r="K45" s="92" t="s">
        <v>25</v>
      </c>
      <c r="L45" s="92"/>
      <c r="M45" s="92"/>
      <c r="N45" s="92"/>
    </row>
    <row r="46" spans="1:18" s="29" customFormat="1" x14ac:dyDescent="0.25">
      <c r="A46" s="90"/>
      <c r="B46" s="90"/>
      <c r="C46" s="37"/>
      <c r="D46" s="36"/>
      <c r="E46" s="35"/>
      <c r="F46" s="32"/>
      <c r="G46" s="32"/>
      <c r="H46" s="32"/>
      <c r="I46" s="34"/>
      <c r="K46" s="33"/>
      <c r="L46" s="33"/>
      <c r="M46" s="33"/>
      <c r="N46" s="32"/>
    </row>
    <row r="47" spans="1:18" s="29" customFormat="1" x14ac:dyDescent="0.25">
      <c r="A47" s="90"/>
      <c r="B47" s="90"/>
      <c r="C47" s="37"/>
      <c r="D47" s="36"/>
      <c r="E47" s="35"/>
      <c r="F47" s="32"/>
      <c r="G47" s="32"/>
      <c r="H47" s="32"/>
      <c r="I47" s="34"/>
      <c r="K47" s="33"/>
      <c r="L47" s="33"/>
      <c r="M47" s="33"/>
      <c r="N47" s="32"/>
    </row>
    <row r="48" spans="1:18" s="29" customFormat="1" x14ac:dyDescent="0.25">
      <c r="A48" s="105" t="s">
        <v>67</v>
      </c>
      <c r="B48" s="105" t="s">
        <v>104</v>
      </c>
      <c r="C48" s="105"/>
      <c r="D48" s="105"/>
      <c r="E48" s="106"/>
      <c r="F48" s="106"/>
      <c r="G48" s="106" t="s">
        <v>105</v>
      </c>
      <c r="H48" s="106"/>
      <c r="I48" s="106"/>
      <c r="J48" s="31" t="s">
        <v>106</v>
      </c>
      <c r="K48" s="30"/>
      <c r="L48" s="30"/>
      <c r="M48" s="30"/>
      <c r="N48" s="30"/>
    </row>
    <row r="49" spans="1:14" s="23" customFormat="1" ht="15.75" customHeight="1" x14ac:dyDescent="0.3">
      <c r="A49" s="25"/>
      <c r="B49" s="367" t="s">
        <v>66</v>
      </c>
      <c r="C49" s="367"/>
      <c r="D49" s="88"/>
      <c r="E49" s="28"/>
      <c r="F49" s="368" t="s">
        <v>65</v>
      </c>
      <c r="G49" s="368"/>
      <c r="H49" s="368"/>
      <c r="I49" s="27"/>
      <c r="J49" s="368" t="s">
        <v>95</v>
      </c>
      <c r="K49" s="368"/>
      <c r="L49" s="26"/>
      <c r="M49" s="26"/>
    </row>
    <row r="50" spans="1:14" s="23" customFormat="1" ht="15.75" customHeight="1" x14ac:dyDescent="0.3">
      <c r="A50" s="25"/>
      <c r="B50" s="369" t="s">
        <v>107</v>
      </c>
      <c r="C50" s="369"/>
      <c r="D50" s="89"/>
      <c r="F50" s="369" t="s">
        <v>112</v>
      </c>
      <c r="G50" s="369"/>
      <c r="H50" s="369"/>
      <c r="J50" s="369" t="s">
        <v>110</v>
      </c>
      <c r="K50" s="369"/>
      <c r="L50" s="89"/>
      <c r="M50" s="89"/>
    </row>
    <row r="51" spans="1:14" ht="15.75" customHeight="1" x14ac:dyDescent="0.2">
      <c r="A51" s="5"/>
      <c r="B51" s="17"/>
      <c r="C51" s="17"/>
      <c r="D51" s="17"/>
      <c r="G51" s="17"/>
      <c r="H51" s="17"/>
      <c r="J51" s="17"/>
      <c r="K51" s="17"/>
      <c r="L51" s="17"/>
      <c r="M51" s="17"/>
    </row>
    <row r="52" spans="1:14" ht="15.75" customHeight="1" x14ac:dyDescent="0.2"/>
    <row r="53" spans="1:14" ht="15.75" customHeight="1" x14ac:dyDescent="0.2">
      <c r="A53" s="22" t="s">
        <v>64</v>
      </c>
    </row>
    <row r="54" spans="1:14" ht="15.75" customHeight="1" x14ac:dyDescent="0.2">
      <c r="A54" s="22"/>
    </row>
    <row r="55" spans="1:14" ht="15.75" customHeight="1" x14ac:dyDescent="0.2">
      <c r="A55" s="22"/>
    </row>
    <row r="56" spans="1:14" ht="15.75" customHeight="1" x14ac:dyDescent="0.25">
      <c r="A56" s="346" t="s">
        <v>0</v>
      </c>
      <c r="B56" s="346"/>
      <c r="C56" s="346"/>
      <c r="D56" s="346"/>
      <c r="E56" s="346"/>
      <c r="F56" s="346"/>
      <c r="G56" s="346"/>
      <c r="H56" s="346"/>
      <c r="I56" s="346"/>
      <c r="J56" s="346"/>
      <c r="K56" s="346"/>
      <c r="L56" s="346"/>
      <c r="M56" s="346"/>
      <c r="N56" s="346"/>
    </row>
    <row r="57" spans="1:14" ht="15.75" customHeight="1" x14ac:dyDescent="0.2">
      <c r="B57" s="21"/>
      <c r="C57" s="21"/>
      <c r="D57" s="21"/>
      <c r="E57" s="21"/>
      <c r="F57" s="21"/>
      <c r="G57" s="21"/>
      <c r="H57" s="21"/>
    </row>
    <row r="58" spans="1:14" s="19" customFormat="1" ht="15.75" customHeight="1" x14ac:dyDescent="0.25">
      <c r="A58" s="321" t="s">
        <v>63</v>
      </c>
      <c r="B58" s="321"/>
      <c r="C58" s="321"/>
      <c r="D58" s="86"/>
      <c r="E58" s="321" t="s">
        <v>62</v>
      </c>
      <c r="F58" s="321"/>
      <c r="G58" s="321"/>
      <c r="H58" s="321"/>
      <c r="I58" s="321"/>
      <c r="J58" s="321"/>
      <c r="K58" s="321"/>
      <c r="L58" s="321"/>
      <c r="M58" s="321"/>
      <c r="N58" s="321"/>
    </row>
    <row r="59" spans="1:14" ht="15.75" customHeight="1" x14ac:dyDescent="0.2">
      <c r="A59" s="17"/>
      <c r="B59" s="17"/>
      <c r="C59" s="18"/>
      <c r="D59" s="18"/>
      <c r="F59" s="17"/>
      <c r="G59" s="17"/>
      <c r="H59" s="17"/>
    </row>
    <row r="60" spans="1:14" ht="15.75" customHeight="1" x14ac:dyDescent="0.2">
      <c r="A60" s="16" t="s">
        <v>61</v>
      </c>
      <c r="B60" s="14"/>
      <c r="C60" s="14"/>
      <c r="D60" s="14"/>
      <c r="E60" s="347" t="s">
        <v>60</v>
      </c>
      <c r="F60" s="347"/>
      <c r="G60" s="347"/>
      <c r="H60" s="347"/>
      <c r="I60" s="347"/>
    </row>
    <row r="61" spans="1:14" ht="5.0999999999999996" customHeight="1" x14ac:dyDescent="0.2">
      <c r="A61" s="87"/>
      <c r="B61" s="87"/>
      <c r="C61" s="87"/>
      <c r="D61" s="87"/>
      <c r="E61" s="87"/>
      <c r="F61" s="10"/>
      <c r="G61" s="10"/>
    </row>
    <row r="62" spans="1:14" ht="15.75" customHeight="1" x14ac:dyDescent="0.25">
      <c r="A62" s="348" t="s">
        <v>59</v>
      </c>
      <c r="B62" s="348"/>
      <c r="C62" s="14"/>
      <c r="D62" s="14"/>
      <c r="E62" s="347" t="s">
        <v>58</v>
      </c>
      <c r="F62" s="347"/>
      <c r="G62" s="347"/>
      <c r="H62" s="347"/>
      <c r="I62" s="347"/>
      <c r="J62" s="13"/>
      <c r="K62" s="13"/>
      <c r="L62" s="13"/>
      <c r="M62" s="13"/>
      <c r="N62" s="13"/>
    </row>
    <row r="63" spans="1:14" ht="5.0999999999999996" customHeight="1" x14ac:dyDescent="0.2">
      <c r="A63" s="5"/>
      <c r="B63" s="5"/>
    </row>
    <row r="64" spans="1:14" ht="15.75" customHeight="1" x14ac:dyDescent="0.25">
      <c r="A64" s="3" t="s">
        <v>57</v>
      </c>
      <c r="B64" s="3"/>
      <c r="E64" s="2" t="s">
        <v>56</v>
      </c>
    </row>
    <row r="65" spans="1:14" ht="5.0999999999999996" customHeight="1" x14ac:dyDescent="0.2">
      <c r="A65" s="5"/>
      <c r="B65" s="5"/>
    </row>
    <row r="66" spans="1:14" ht="47.25" customHeight="1" x14ac:dyDescent="0.25">
      <c r="A66" s="11" t="s">
        <v>55</v>
      </c>
      <c r="B66" s="3"/>
      <c r="E66" s="349" t="s">
        <v>54</v>
      </c>
      <c r="F66" s="349"/>
      <c r="G66" s="349"/>
      <c r="H66" s="349"/>
      <c r="I66" s="349"/>
      <c r="J66" s="349"/>
      <c r="K66" s="349"/>
      <c r="L66" s="349"/>
      <c r="M66" s="349"/>
      <c r="N66" s="349"/>
    </row>
    <row r="67" spans="1:14" ht="5.0999999999999996" customHeight="1" x14ac:dyDescent="0.2">
      <c r="A67" s="5"/>
      <c r="B67" s="5"/>
      <c r="E67" s="12"/>
    </row>
    <row r="68" spans="1:14" ht="47.25" customHeight="1" x14ac:dyDescent="0.25">
      <c r="A68" s="11" t="s">
        <v>53</v>
      </c>
      <c r="B68" s="3"/>
      <c r="E68" s="350" t="s">
        <v>52</v>
      </c>
      <c r="F68" s="350"/>
      <c r="G68" s="350"/>
      <c r="H68" s="350"/>
      <c r="I68" s="350"/>
      <c r="J68" s="350"/>
      <c r="K68" s="350"/>
      <c r="L68" s="350"/>
      <c r="M68" s="350"/>
      <c r="N68" s="350"/>
    </row>
    <row r="69" spans="1:14" ht="5.0999999999999996" customHeight="1" x14ac:dyDescent="0.25">
      <c r="A69" s="5"/>
      <c r="B69" s="5"/>
      <c r="E69" s="2"/>
    </row>
    <row r="70" spans="1:14" ht="49.5" customHeight="1" x14ac:dyDescent="0.25">
      <c r="A70" s="11" t="s">
        <v>6</v>
      </c>
      <c r="B70" s="3"/>
      <c r="E70" s="351" t="s">
        <v>51</v>
      </c>
      <c r="F70" s="351"/>
      <c r="G70" s="351"/>
      <c r="H70" s="351"/>
      <c r="I70" s="351"/>
      <c r="J70" s="351"/>
      <c r="K70" s="351"/>
      <c r="L70" s="351"/>
      <c r="M70" s="351"/>
      <c r="N70" s="351"/>
    </row>
    <row r="71" spans="1:14" ht="5.0999999999999996" customHeight="1" x14ac:dyDescent="0.25">
      <c r="A71" s="5"/>
      <c r="B71" s="5"/>
      <c r="E71" s="2"/>
    </row>
    <row r="72" spans="1:14" ht="49.5" customHeight="1" x14ac:dyDescent="0.25">
      <c r="A72" s="11" t="s">
        <v>50</v>
      </c>
      <c r="B72" s="3"/>
      <c r="E72" s="351" t="s">
        <v>49</v>
      </c>
      <c r="F72" s="351"/>
      <c r="G72" s="351"/>
      <c r="H72" s="351"/>
      <c r="I72" s="351"/>
      <c r="J72" s="351"/>
      <c r="K72" s="351"/>
      <c r="L72" s="351"/>
      <c r="M72" s="351"/>
      <c r="N72" s="351"/>
    </row>
    <row r="73" spans="1:14" ht="5.0999999999999996" customHeight="1" x14ac:dyDescent="0.2">
      <c r="A73" s="10"/>
      <c r="B73" s="10"/>
    </row>
    <row r="74" spans="1:14" ht="30.75" customHeight="1" x14ac:dyDescent="0.25">
      <c r="A74" s="9" t="s">
        <v>8</v>
      </c>
      <c r="B74" s="3"/>
      <c r="E74" s="349" t="s">
        <v>48</v>
      </c>
      <c r="F74" s="352"/>
      <c r="G74" s="352"/>
      <c r="H74" s="352"/>
      <c r="I74" s="352"/>
      <c r="J74" s="352"/>
      <c r="K74" s="352"/>
      <c r="L74" s="352"/>
      <c r="M74" s="352"/>
      <c r="N74" s="352"/>
    </row>
    <row r="75" spans="1:14" ht="5.0999999999999996" customHeight="1" x14ac:dyDescent="0.2">
      <c r="A75" s="5"/>
      <c r="B75" s="5"/>
    </row>
    <row r="76" spans="1:14" ht="15.75" customHeight="1" x14ac:dyDescent="0.25">
      <c r="A76" s="3" t="s">
        <v>47</v>
      </c>
      <c r="B76" s="3"/>
      <c r="E76" s="2" t="s">
        <v>46</v>
      </c>
    </row>
    <row r="77" spans="1:14" ht="5.0999999999999996" customHeight="1" x14ac:dyDescent="0.2">
      <c r="A77" s="5"/>
      <c r="B77" s="5"/>
    </row>
    <row r="78" spans="1:14" ht="15.75" customHeight="1" x14ac:dyDescent="0.25">
      <c r="A78" s="8" t="s">
        <v>45</v>
      </c>
      <c r="B78" s="3"/>
      <c r="E78" s="7" t="s">
        <v>44</v>
      </c>
    </row>
    <row r="79" spans="1:14" ht="5.0999999999999996" customHeight="1" x14ac:dyDescent="0.2">
      <c r="A79" s="5"/>
      <c r="B79" s="5"/>
    </row>
    <row r="80" spans="1:14" ht="15.75" customHeight="1" x14ac:dyDescent="0.25">
      <c r="A80" s="3" t="s">
        <v>43</v>
      </c>
      <c r="B80" s="3"/>
      <c r="E80" s="2" t="s">
        <v>42</v>
      </c>
    </row>
    <row r="81" spans="1:14" ht="5.0999999999999996" customHeight="1" x14ac:dyDescent="0.2">
      <c r="A81" s="5"/>
      <c r="B81" s="5"/>
    </row>
    <row r="82" spans="1:14" ht="15.75" customHeight="1" x14ac:dyDescent="0.25">
      <c r="A82" s="3" t="s">
        <v>41</v>
      </c>
      <c r="B82" s="3"/>
      <c r="E82" s="2" t="s">
        <v>40</v>
      </c>
    </row>
    <row r="83" spans="1:14" ht="5.0999999999999996" customHeight="1" x14ac:dyDescent="0.25">
      <c r="A83" s="3"/>
      <c r="B83" s="3"/>
      <c r="E83" s="2"/>
    </row>
    <row r="84" spans="1:14" ht="15.75" customHeight="1" x14ac:dyDescent="0.25">
      <c r="A84" s="8" t="s">
        <v>39</v>
      </c>
      <c r="B84" s="3"/>
      <c r="E84" s="7" t="s">
        <v>38</v>
      </c>
    </row>
    <row r="85" spans="1:14" ht="5.0999999999999996" customHeight="1" x14ac:dyDescent="0.2">
      <c r="A85" s="5"/>
      <c r="B85" s="5"/>
    </row>
    <row r="86" spans="1:14" ht="37.5" customHeight="1" x14ac:dyDescent="0.25">
      <c r="A86" s="6" t="s">
        <v>37</v>
      </c>
      <c r="B86" s="3"/>
      <c r="E86" s="344" t="s">
        <v>36</v>
      </c>
      <c r="F86" s="345"/>
      <c r="G86" s="345"/>
      <c r="H86" s="345"/>
      <c r="I86" s="345"/>
      <c r="J86" s="345"/>
      <c r="K86" s="345"/>
      <c r="L86" s="345"/>
      <c r="M86" s="345"/>
      <c r="N86" s="345"/>
    </row>
    <row r="87" spans="1:14" ht="5.0999999999999996" customHeight="1" x14ac:dyDescent="0.2">
      <c r="A87" s="5"/>
      <c r="B87" s="5"/>
    </row>
    <row r="88" spans="1:14" ht="15.75" customHeight="1" x14ac:dyDescent="0.25">
      <c r="A88" s="3" t="s">
        <v>35</v>
      </c>
      <c r="B88" s="3"/>
      <c r="E88" s="2" t="s">
        <v>34</v>
      </c>
    </row>
    <row r="89" spans="1:14" ht="5.0999999999999996" customHeight="1" x14ac:dyDescent="0.2">
      <c r="A89" s="5"/>
      <c r="B89" s="5"/>
    </row>
    <row r="90" spans="1:14" ht="15.75" customHeight="1" x14ac:dyDescent="0.25">
      <c r="A90" s="3" t="s">
        <v>33</v>
      </c>
      <c r="B90" s="3"/>
      <c r="E90" s="2" t="s">
        <v>32</v>
      </c>
    </row>
    <row r="91" spans="1:14" ht="5.0999999999999996" customHeight="1" x14ac:dyDescent="0.2">
      <c r="A91" s="5"/>
      <c r="B91" s="5"/>
    </row>
    <row r="92" spans="1:14" ht="15.75" customHeight="1" x14ac:dyDescent="0.25">
      <c r="A92" s="3" t="s">
        <v>31</v>
      </c>
      <c r="B92" s="3"/>
      <c r="E92" s="2" t="s">
        <v>30</v>
      </c>
    </row>
    <row r="93" spans="1:14" ht="5.0999999999999996" customHeight="1" x14ac:dyDescent="0.2">
      <c r="A93" s="5"/>
      <c r="B93" s="5"/>
    </row>
    <row r="94" spans="1:14" ht="15.75" customHeight="1" x14ac:dyDescent="0.25">
      <c r="A94" s="3" t="s">
        <v>29</v>
      </c>
      <c r="B94" s="3"/>
      <c r="E94" s="2" t="s">
        <v>28</v>
      </c>
    </row>
    <row r="95" spans="1:14" ht="5.0999999999999996" customHeight="1" x14ac:dyDescent="0.2">
      <c r="A95" s="5"/>
      <c r="B95" s="5"/>
    </row>
    <row r="96" spans="1:14" ht="15.75" customHeight="1" x14ac:dyDescent="0.25">
      <c r="A96" s="4" t="s">
        <v>14</v>
      </c>
      <c r="B96" s="3"/>
      <c r="E96" s="2" t="s">
        <v>27</v>
      </c>
    </row>
  </sheetData>
  <mergeCells count="52">
    <mergeCell ref="E86:N86"/>
    <mergeCell ref="A56:N56"/>
    <mergeCell ref="A58:C58"/>
    <mergeCell ref="E58:N58"/>
    <mergeCell ref="E60:I60"/>
    <mergeCell ref="A62:B62"/>
    <mergeCell ref="E62:I62"/>
    <mergeCell ref="E66:N66"/>
    <mergeCell ref="E68:N68"/>
    <mergeCell ref="E70:N70"/>
    <mergeCell ref="E72:N72"/>
    <mergeCell ref="E74:N74"/>
    <mergeCell ref="B49:C49"/>
    <mergeCell ref="F49:H49"/>
    <mergeCell ref="J49:K49"/>
    <mergeCell ref="B50:C50"/>
    <mergeCell ref="J50:K50"/>
    <mergeCell ref="F50:H50"/>
    <mergeCell ref="B41:C41"/>
    <mergeCell ref="D41:F41"/>
    <mergeCell ref="G41:H41"/>
    <mergeCell ref="B42:C42"/>
    <mergeCell ref="D42:F42"/>
    <mergeCell ref="G42:H42"/>
    <mergeCell ref="B43:C43"/>
    <mergeCell ref="D43:F43"/>
    <mergeCell ref="G43:H43"/>
    <mergeCell ref="A45:D45"/>
    <mergeCell ref="E45:I45"/>
    <mergeCell ref="I12:I13"/>
    <mergeCell ref="B39:C39"/>
    <mergeCell ref="D39:F39"/>
    <mergeCell ref="G39:H39"/>
    <mergeCell ref="B40:C40"/>
    <mergeCell ref="D40:F40"/>
    <mergeCell ref="G40:H40"/>
    <mergeCell ref="J12:J13"/>
    <mergeCell ref="A35:L37"/>
    <mergeCell ref="K12:K13"/>
    <mergeCell ref="A4:N4"/>
    <mergeCell ref="A6:N6"/>
    <mergeCell ref="D7:I7"/>
    <mergeCell ref="C11:G11"/>
    <mergeCell ref="H11:K11"/>
    <mergeCell ref="A12:A13"/>
    <mergeCell ref="B12:B13"/>
    <mergeCell ref="C12:C13"/>
    <mergeCell ref="D12:D13"/>
    <mergeCell ref="E12:E13"/>
    <mergeCell ref="F12:F13"/>
    <mergeCell ref="G12:G13"/>
    <mergeCell ref="H12:H13"/>
  </mergeCells>
  <pageMargins left="0.62992125984251968" right="0.62992125984251968" top="0.39370078740157483" bottom="0.23622047244094491" header="0" footer="0"/>
  <pageSetup scale="69" fitToHeight="0" orientation="landscape" r:id="rId1"/>
  <headerFooter alignWithMargins="0">
    <oddFooter>&amp;R</oddFooter>
  </headerFooter>
  <rowBreaks count="1" manualBreakCount="1">
    <brk id="52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4:S96"/>
  <sheetViews>
    <sheetView showGridLines="0" topLeftCell="A14" zoomScale="130" zoomScaleNormal="130" zoomScaleSheetLayoutView="100" workbookViewId="0">
      <selection activeCell="J19" sqref="J19"/>
    </sheetView>
  </sheetViews>
  <sheetFormatPr baseColWidth="10" defaultRowHeight="12.75" x14ac:dyDescent="0.2"/>
  <cols>
    <col min="1" max="1" width="26.710937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96"/>
      <c r="B7" s="96"/>
      <c r="C7" s="96"/>
      <c r="D7" s="321" t="s">
        <v>87</v>
      </c>
      <c r="E7" s="321"/>
      <c r="F7" s="321"/>
      <c r="G7" s="321"/>
      <c r="H7" s="321"/>
      <c r="I7" s="321"/>
      <c r="J7" s="96"/>
      <c r="K7" s="96"/>
      <c r="L7" s="96"/>
      <c r="M7" s="96"/>
      <c r="N7" s="96"/>
    </row>
    <row r="8" spans="1:14" ht="15.75" customHeight="1" x14ac:dyDescent="0.25">
      <c r="A8" s="85"/>
      <c r="B8" s="84"/>
      <c r="C8" s="84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4" ht="15.75" hidden="1" customHeight="1" x14ac:dyDescent="0.25">
      <c r="A9" s="85" t="s">
        <v>1</v>
      </c>
      <c r="B9" s="84"/>
      <c r="C9" s="84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</row>
    <row r="10" spans="1:14" ht="15.75" customHeight="1" x14ac:dyDescent="0.2">
      <c r="B10" s="5"/>
      <c r="C10" s="83"/>
      <c r="D10" s="5"/>
      <c r="E10" s="2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98"/>
      <c r="M12" s="98"/>
      <c r="N12" s="97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98"/>
      <c r="M13" s="98"/>
      <c r="N13" s="79" t="s">
        <v>15</v>
      </c>
    </row>
    <row r="14" spans="1:14" ht="15.75" customHeight="1" x14ac:dyDescent="0.25">
      <c r="A14" s="77" t="s">
        <v>81</v>
      </c>
      <c r="B14" s="78"/>
      <c r="C14" s="73">
        <v>3133750.11</v>
      </c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73">
        <v>0</v>
      </c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73">
        <v>1784036.09</v>
      </c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73">
        <v>926547.05</v>
      </c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73">
        <v>0</v>
      </c>
      <c r="D18" s="58"/>
      <c r="F18" s="60"/>
      <c r="G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/>
      <c r="C19" s="73">
        <f>SUM(C14:C18)</f>
        <v>5844333.25</v>
      </c>
      <c r="D19" s="58"/>
      <c r="E19" s="58">
        <f>3571881.16-20065.09-2383+5258</f>
        <v>3554691.0700000003</v>
      </c>
      <c r="F19" s="73"/>
      <c r="G19" s="56">
        <f>+C19+D19-E19</f>
        <v>2289642.1799999997</v>
      </c>
      <c r="H19" s="56">
        <v>2301136.98</v>
      </c>
      <c r="I19" s="56">
        <v>0</v>
      </c>
      <c r="J19" s="56">
        <f>9937+0.4</f>
        <v>9937.4</v>
      </c>
      <c r="K19" s="56">
        <f>+H19+I19-J19</f>
        <v>2291199.58</v>
      </c>
      <c r="L19" s="73">
        <f>+G19-K19</f>
        <v>-1557.4000000003725</v>
      </c>
      <c r="M19" s="56">
        <f>G19-K19</f>
        <v>-1557.4000000003725</v>
      </c>
      <c r="N19" s="72"/>
      <c r="O19" s="68"/>
    </row>
    <row r="20" spans="1:19" ht="15.75" customHeight="1" x14ac:dyDescent="0.25">
      <c r="A20" s="62" t="s">
        <v>75</v>
      </c>
      <c r="B20" s="61">
        <v>16873510</v>
      </c>
      <c r="C20" s="61">
        <v>3621935.22</v>
      </c>
      <c r="D20" s="58"/>
      <c r="E20" s="58">
        <f>2413867.09+2383</f>
        <v>2416250.09</v>
      </c>
      <c r="F20" s="60">
        <f t="shared" ref="F20:F30" si="0">E20/C20</f>
        <v>0.66711576636094549</v>
      </c>
      <c r="G20" s="56">
        <f t="shared" ref="G20:G32" si="1">+C20+D20-E20</f>
        <v>1205685.1300000004</v>
      </c>
      <c r="H20" s="56">
        <v>1057252.1499999999</v>
      </c>
      <c r="I20" s="56">
        <v>0</v>
      </c>
      <c r="J20" s="56">
        <f>75068.97-1.15</f>
        <v>75067.820000000007</v>
      </c>
      <c r="K20" s="56">
        <f t="shared" ref="K20:K33" si="2">+H20+I20-J20</f>
        <v>982184.32999999984</v>
      </c>
      <c r="L20" s="73">
        <f t="shared" ref="L20:L33" si="3">+G20-K20</f>
        <v>223500.80000000051</v>
      </c>
      <c r="M20" s="56">
        <f t="shared" ref="M20:M33" si="4">G20-K20</f>
        <v>223500.80000000051</v>
      </c>
      <c r="N20" s="60">
        <f t="shared" ref="N20:N29" si="5">E20/B20</f>
        <v>0.14319783435692987</v>
      </c>
      <c r="O20" s="70"/>
      <c r="P20" s="71"/>
      <c r="Q20" s="48"/>
    </row>
    <row r="21" spans="1:19" ht="15.75" customHeight="1" x14ac:dyDescent="0.25">
      <c r="A21" s="62" t="s">
        <v>74</v>
      </c>
      <c r="B21" s="61">
        <v>7436006</v>
      </c>
      <c r="C21" s="61">
        <v>1874498.74</v>
      </c>
      <c r="D21" s="58"/>
      <c r="E21" s="58">
        <v>1691020.7</v>
      </c>
      <c r="F21" s="60">
        <f t="shared" si="0"/>
        <v>0.90211887792466583</v>
      </c>
      <c r="G21" s="56">
        <f t="shared" si="1"/>
        <v>183478.04000000004</v>
      </c>
      <c r="H21" s="56">
        <v>339864.04</v>
      </c>
      <c r="I21" s="56">
        <v>0</v>
      </c>
      <c r="J21" s="56">
        <f>38753</f>
        <v>38753</v>
      </c>
      <c r="K21" s="56">
        <f t="shared" si="2"/>
        <v>301111.03999999998</v>
      </c>
      <c r="L21" s="73">
        <f t="shared" si="3"/>
        <v>-117632.99999999994</v>
      </c>
      <c r="M21" s="56">
        <f t="shared" si="4"/>
        <v>-117632.99999999994</v>
      </c>
      <c r="N21" s="60">
        <f t="shared" si="5"/>
        <v>0.22740980843748645</v>
      </c>
      <c r="O21" s="70"/>
      <c r="P21" s="69"/>
      <c r="Q21" s="45"/>
    </row>
    <row r="22" spans="1:19" ht="15.75" customHeight="1" x14ac:dyDescent="0.25">
      <c r="A22" s="62" t="s">
        <v>73</v>
      </c>
      <c r="B22" s="61">
        <v>281545</v>
      </c>
      <c r="C22" s="63">
        <v>95295.56</v>
      </c>
      <c r="D22" s="104"/>
      <c r="E22" s="58">
        <v>0</v>
      </c>
      <c r="F22" s="60">
        <f>E22/C22</f>
        <v>0</v>
      </c>
      <c r="G22" s="56">
        <f>+C22+D22-E22</f>
        <v>95295.56</v>
      </c>
      <c r="H22" s="56">
        <v>95295.56</v>
      </c>
      <c r="I22" s="56">
        <v>0</v>
      </c>
      <c r="J22" s="56">
        <v>0</v>
      </c>
      <c r="K22" s="56">
        <f t="shared" si="2"/>
        <v>95295.56</v>
      </c>
      <c r="L22" s="73">
        <f t="shared" si="3"/>
        <v>0</v>
      </c>
      <c r="M22" s="56">
        <f t="shared" si="4"/>
        <v>0</v>
      </c>
      <c r="N22" s="60">
        <f t="shared" si="5"/>
        <v>0</v>
      </c>
      <c r="O22" s="68"/>
    </row>
    <row r="23" spans="1:19" ht="15.75" customHeight="1" x14ac:dyDescent="0.25">
      <c r="A23" s="62" t="s">
        <v>86</v>
      </c>
      <c r="B23" s="61">
        <v>824025</v>
      </c>
      <c r="C23" s="61">
        <v>191162.85</v>
      </c>
      <c r="D23" s="58"/>
      <c r="E23" s="58">
        <v>107871.88</v>
      </c>
      <c r="F23" s="60">
        <f t="shared" ref="F23:F25" si="6">E23/C23</f>
        <v>0.56429311448327957</v>
      </c>
      <c r="G23" s="56">
        <f>+C23+D23-E23</f>
        <v>83290.97</v>
      </c>
      <c r="H23" s="56">
        <v>83290.97</v>
      </c>
      <c r="I23" s="56">
        <v>0</v>
      </c>
      <c r="J23" s="56">
        <v>0</v>
      </c>
      <c r="K23" s="56">
        <f t="shared" si="2"/>
        <v>83290.97</v>
      </c>
      <c r="L23" s="73">
        <f t="shared" si="3"/>
        <v>0</v>
      </c>
      <c r="M23" s="56">
        <f t="shared" si="4"/>
        <v>0</v>
      </c>
      <c r="N23" s="60">
        <f t="shared" si="5"/>
        <v>0.13090850398956344</v>
      </c>
    </row>
    <row r="24" spans="1:19" ht="15.75" customHeight="1" x14ac:dyDescent="0.25">
      <c r="A24" s="62" t="s">
        <v>72</v>
      </c>
      <c r="B24" s="61">
        <v>600184</v>
      </c>
      <c r="C24" s="61">
        <v>110084.1</v>
      </c>
      <c r="D24" s="58"/>
      <c r="E24" s="58">
        <v>0</v>
      </c>
      <c r="F24" s="60">
        <f t="shared" si="6"/>
        <v>0</v>
      </c>
      <c r="G24" s="56">
        <f t="shared" si="1"/>
        <v>110084.1</v>
      </c>
      <c r="H24" s="56">
        <v>110084.1</v>
      </c>
      <c r="I24" s="56">
        <v>0</v>
      </c>
      <c r="J24" s="56">
        <v>0</v>
      </c>
      <c r="K24" s="56">
        <f t="shared" si="2"/>
        <v>110084.1</v>
      </c>
      <c r="L24" s="73">
        <f t="shared" si="3"/>
        <v>0</v>
      </c>
      <c r="M24" s="56">
        <f t="shared" si="4"/>
        <v>0</v>
      </c>
      <c r="N24" s="60">
        <f t="shared" si="5"/>
        <v>0</v>
      </c>
    </row>
    <row r="25" spans="1:19" ht="15.75" customHeight="1" x14ac:dyDescent="0.25">
      <c r="A25" s="62" t="s">
        <v>93</v>
      </c>
      <c r="B25" s="61">
        <v>11851740</v>
      </c>
      <c r="C25" s="63">
        <v>2963004.62</v>
      </c>
      <c r="D25" s="104"/>
      <c r="E25" s="104">
        <f>2367400.82+20065.09</f>
        <v>2387465.9099999997</v>
      </c>
      <c r="F25" s="60">
        <f t="shared" si="6"/>
        <v>0.80575841626598599</v>
      </c>
      <c r="G25" s="56">
        <f t="shared" si="1"/>
        <v>575538.71000000043</v>
      </c>
      <c r="H25" s="67">
        <v>728439.39</v>
      </c>
      <c r="I25" s="67">
        <v>0</v>
      </c>
      <c r="J25" s="67">
        <f>47553.5+292.25+744.53</f>
        <v>48590.28</v>
      </c>
      <c r="K25" s="56">
        <f t="shared" si="2"/>
        <v>679849.11</v>
      </c>
      <c r="L25" s="73">
        <f t="shared" si="3"/>
        <v>-104310.39999999956</v>
      </c>
      <c r="M25" s="56">
        <f t="shared" si="4"/>
        <v>-104310.39999999956</v>
      </c>
      <c r="N25" s="66">
        <f t="shared" si="5"/>
        <v>0.20144433728718311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91</v>
      </c>
      <c r="B26" s="61">
        <v>3479677</v>
      </c>
      <c r="C26" s="58">
        <v>1043996.86</v>
      </c>
      <c r="D26" s="104"/>
      <c r="E26" s="58">
        <v>0</v>
      </c>
      <c r="F26" s="66">
        <f t="shared" si="0"/>
        <v>0</v>
      </c>
      <c r="G26" s="67">
        <f>+C26+D26-E26</f>
        <v>1043996.86</v>
      </c>
      <c r="H26" s="56">
        <v>1043996.86</v>
      </c>
      <c r="I26" s="56">
        <v>0</v>
      </c>
      <c r="J26" s="56">
        <v>0</v>
      </c>
      <c r="K26" s="56">
        <f t="shared" si="2"/>
        <v>1043996.86</v>
      </c>
      <c r="L26" s="73">
        <f t="shared" si="3"/>
        <v>0</v>
      </c>
      <c r="M26" s="56">
        <f t="shared" si="4"/>
        <v>0</v>
      </c>
      <c r="N26" s="60">
        <f t="shared" si="5"/>
        <v>0</v>
      </c>
      <c r="O26" s="64"/>
    </row>
    <row r="27" spans="1:19" ht="15.75" customHeight="1" x14ac:dyDescent="0.25">
      <c r="A27" s="62" t="s">
        <v>90</v>
      </c>
      <c r="B27" s="61"/>
      <c r="C27" s="58">
        <v>0</v>
      </c>
      <c r="D27" s="104"/>
      <c r="E27" s="58">
        <v>0</v>
      </c>
      <c r="F27" s="66">
        <v>0</v>
      </c>
      <c r="G27" s="67">
        <f>+C27+D27-E27</f>
        <v>0</v>
      </c>
      <c r="H27" s="56">
        <v>0</v>
      </c>
      <c r="I27" s="56">
        <v>0</v>
      </c>
      <c r="J27" s="56">
        <v>0</v>
      </c>
      <c r="K27" s="56">
        <f>+H27+I27-J27</f>
        <v>0</v>
      </c>
      <c r="L27" s="73">
        <f t="shared" si="3"/>
        <v>0</v>
      </c>
      <c r="M27" s="56">
        <f t="shared" si="4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63">
        <v>99465</v>
      </c>
      <c r="C28" s="61">
        <v>46545.95</v>
      </c>
      <c r="D28" s="58"/>
      <c r="E28" s="58">
        <v>0</v>
      </c>
      <c r="F28" s="60">
        <f t="shared" si="0"/>
        <v>0</v>
      </c>
      <c r="G28" s="67">
        <f>+C28+D28-E28</f>
        <v>46545.95</v>
      </c>
      <c r="H28" s="56">
        <v>46545.95</v>
      </c>
      <c r="I28" s="56">
        <v>0</v>
      </c>
      <c r="J28" s="56">
        <v>0</v>
      </c>
      <c r="K28" s="56">
        <f t="shared" si="2"/>
        <v>46545.95</v>
      </c>
      <c r="L28" s="73">
        <f t="shared" si="3"/>
        <v>0</v>
      </c>
      <c r="M28" s="56">
        <f t="shared" si="4"/>
        <v>0</v>
      </c>
      <c r="N28" s="60">
        <f t="shared" si="5"/>
        <v>0</v>
      </c>
    </row>
    <row r="29" spans="1:19" ht="15.75" customHeight="1" x14ac:dyDescent="0.25">
      <c r="A29" s="62" t="s">
        <v>69</v>
      </c>
      <c r="B29" s="61">
        <v>29793</v>
      </c>
      <c r="C29" s="61">
        <v>7448.96</v>
      </c>
      <c r="D29" s="58"/>
      <c r="E29" s="58">
        <v>0</v>
      </c>
      <c r="F29" s="60">
        <f t="shared" si="0"/>
        <v>0</v>
      </c>
      <c r="G29" s="56">
        <f t="shared" si="1"/>
        <v>7448.96</v>
      </c>
      <c r="H29" s="56">
        <v>7448.96</v>
      </c>
      <c r="I29" s="56">
        <v>0</v>
      </c>
      <c r="J29" s="56">
        <v>0</v>
      </c>
      <c r="K29" s="56">
        <f t="shared" si="2"/>
        <v>7448.96</v>
      </c>
      <c r="L29" s="73">
        <f t="shared" si="3"/>
        <v>0</v>
      </c>
      <c r="M29" s="56">
        <f t="shared" si="4"/>
        <v>0</v>
      </c>
      <c r="N29" s="60">
        <f t="shared" si="5"/>
        <v>0</v>
      </c>
    </row>
    <row r="30" spans="1:19" ht="15.75" customHeight="1" x14ac:dyDescent="0.25">
      <c r="A30" s="62" t="s">
        <v>26</v>
      </c>
      <c r="B30" s="61"/>
      <c r="C30" s="112">
        <v>68757.710000000006</v>
      </c>
      <c r="D30" s="58"/>
      <c r="E30" s="58">
        <v>0</v>
      </c>
      <c r="F30" s="60">
        <f t="shared" si="0"/>
        <v>0</v>
      </c>
      <c r="G30" s="56">
        <f t="shared" si="1"/>
        <v>68757.710000000006</v>
      </c>
      <c r="H30" s="56">
        <v>68757.710000000006</v>
      </c>
      <c r="I30" s="56">
        <v>0</v>
      </c>
      <c r="J30" s="56">
        <v>0</v>
      </c>
      <c r="K30" s="56">
        <f t="shared" si="2"/>
        <v>68757.710000000006</v>
      </c>
      <c r="L30" s="73">
        <f t="shared" si="3"/>
        <v>0</v>
      </c>
      <c r="M30" s="56">
        <f t="shared" si="4"/>
        <v>0</v>
      </c>
      <c r="N30" s="60">
        <v>0</v>
      </c>
    </row>
    <row r="31" spans="1:19" ht="15.75" customHeight="1" x14ac:dyDescent="0.25">
      <c r="A31" s="62" t="s">
        <v>85</v>
      </c>
      <c r="B31" s="61"/>
      <c r="C31" s="61">
        <v>0</v>
      </c>
      <c r="D31" s="58"/>
      <c r="E31" s="58">
        <v>0</v>
      </c>
      <c r="F31" s="60">
        <v>0</v>
      </c>
      <c r="G31" s="56">
        <f t="shared" si="1"/>
        <v>0</v>
      </c>
      <c r="H31" s="56">
        <v>0</v>
      </c>
      <c r="I31" s="56">
        <v>0</v>
      </c>
      <c r="J31" s="56">
        <v>0</v>
      </c>
      <c r="K31" s="56">
        <f t="shared" si="2"/>
        <v>0</v>
      </c>
      <c r="L31" s="73">
        <f t="shared" si="3"/>
        <v>0</v>
      </c>
      <c r="M31" s="56">
        <f t="shared" si="4"/>
        <v>0</v>
      </c>
      <c r="N31" s="60"/>
    </row>
    <row r="32" spans="1:19" ht="15.75" customHeight="1" x14ac:dyDescent="0.25">
      <c r="A32" s="62" t="s">
        <v>84</v>
      </c>
      <c r="B32" s="61"/>
      <c r="C32" s="61">
        <v>251977.39</v>
      </c>
      <c r="D32" s="58"/>
      <c r="E32" s="58">
        <v>251977.38</v>
      </c>
      <c r="F32" s="60"/>
      <c r="G32" s="56">
        <f t="shared" si="1"/>
        <v>1.0000000009313226E-2</v>
      </c>
      <c r="H32" s="56">
        <v>0.01</v>
      </c>
      <c r="I32" s="56"/>
      <c r="J32" s="56">
        <v>0</v>
      </c>
      <c r="K32" s="56">
        <f t="shared" si="2"/>
        <v>0.01</v>
      </c>
      <c r="L32" s="73">
        <f>+G32-K32</f>
        <v>9.313225537987968E-12</v>
      </c>
      <c r="M32" s="56">
        <f t="shared" si="4"/>
        <v>9.313225537987968E-12</v>
      </c>
      <c r="N32" s="60"/>
    </row>
    <row r="33" spans="1:18" ht="15.75" customHeight="1" x14ac:dyDescent="0.25">
      <c r="A33" s="107" t="s">
        <v>92</v>
      </c>
      <c r="B33" s="108"/>
      <c r="C33" s="108"/>
      <c r="D33" s="108"/>
      <c r="E33" s="108">
        <v>0</v>
      </c>
      <c r="F33" s="109">
        <v>0</v>
      </c>
      <c r="G33" s="110">
        <f t="shared" ref="G33" si="7">C33-E33</f>
        <v>0</v>
      </c>
      <c r="H33" s="110">
        <v>173.01</v>
      </c>
      <c r="I33" s="110">
        <v>103243.35</v>
      </c>
      <c r="J33" s="110">
        <f>103243.35+173.01</f>
        <v>103416.36</v>
      </c>
      <c r="K33" s="56">
        <f t="shared" si="2"/>
        <v>0</v>
      </c>
      <c r="L33" s="73">
        <f t="shared" si="3"/>
        <v>0</v>
      </c>
      <c r="M33" s="56">
        <f t="shared" si="4"/>
        <v>0</v>
      </c>
      <c r="N33" s="60"/>
    </row>
    <row r="34" spans="1:18" ht="15.75" customHeight="1" x14ac:dyDescent="0.25">
      <c r="A34" s="59" t="s">
        <v>68</v>
      </c>
      <c r="B34" s="58">
        <f>SUM(B19:B33)</f>
        <v>41475945</v>
      </c>
      <c r="C34" s="58">
        <f>SUM(C19:C33)</f>
        <v>16119041.210000001</v>
      </c>
      <c r="D34" s="58">
        <f>SUM(D19:D33)</f>
        <v>0</v>
      </c>
      <c r="E34" s="58">
        <f>SUM(E19:E33)</f>
        <v>10409277.030000001</v>
      </c>
      <c r="F34" s="57"/>
      <c r="G34" s="56">
        <f t="shared" ref="G34:M34" si="8">SUM(G19:G33)</f>
        <v>5709764.1800000016</v>
      </c>
      <c r="H34" s="56">
        <f t="shared" si="8"/>
        <v>5882285.6900000004</v>
      </c>
      <c r="I34" s="56">
        <f t="shared" si="8"/>
        <v>103243.35</v>
      </c>
      <c r="J34" s="56">
        <f t="shared" si="8"/>
        <v>275764.86</v>
      </c>
      <c r="K34" s="56">
        <f t="shared" si="8"/>
        <v>5709764.1800000006</v>
      </c>
      <c r="L34" s="56">
        <f t="shared" si="8"/>
        <v>6.4959749558612945E-10</v>
      </c>
      <c r="M34" s="56">
        <f t="shared" si="8"/>
        <v>6.4959749558612945E-10</v>
      </c>
      <c r="N34" s="56"/>
    </row>
    <row r="35" spans="1:18" ht="15.75" customHeight="1" x14ac:dyDescent="0.25">
      <c r="A35" s="353" t="s">
        <v>97</v>
      </c>
      <c r="B35" s="353"/>
      <c r="C35" s="353"/>
      <c r="D35" s="353"/>
      <c r="E35" s="353"/>
      <c r="F35" s="353"/>
      <c r="G35" s="353"/>
      <c r="H35" s="353"/>
      <c r="I35" s="353"/>
      <c r="J35" s="353"/>
      <c r="K35" s="353"/>
      <c r="L35" s="353"/>
      <c r="M35" s="55"/>
      <c r="N35" s="54"/>
    </row>
    <row r="36" spans="1:18" ht="15.75" customHeight="1" x14ac:dyDescent="0.25">
      <c r="A36" s="353"/>
      <c r="B36" s="353"/>
      <c r="C36" s="353"/>
      <c r="D36" s="353"/>
      <c r="E36" s="353"/>
      <c r="F36" s="353"/>
      <c r="G36" s="353"/>
      <c r="H36" s="353"/>
      <c r="I36" s="353"/>
      <c r="J36" s="353"/>
      <c r="K36" s="353"/>
      <c r="L36" s="353"/>
      <c r="M36" s="55"/>
      <c r="N36" s="54"/>
    </row>
    <row r="37" spans="1:18" ht="24.75" customHeight="1" x14ac:dyDescent="0.25">
      <c r="A37" s="353"/>
      <c r="B37" s="353"/>
      <c r="C37" s="353"/>
      <c r="D37" s="353"/>
      <c r="E37" s="353"/>
      <c r="F37" s="353"/>
      <c r="G37" s="353"/>
      <c r="H37" s="353"/>
      <c r="I37" s="353"/>
      <c r="J37" s="353"/>
      <c r="K37" s="353"/>
      <c r="L37" s="353"/>
      <c r="M37" s="55"/>
      <c r="N37" s="54"/>
    </row>
    <row r="38" spans="1:18" ht="15.75" customHeight="1" x14ac:dyDescent="0.2">
      <c r="C38" s="374"/>
      <c r="D38" s="374"/>
      <c r="E38" s="374"/>
      <c r="F38" s="374"/>
      <c r="G38" s="374"/>
      <c r="H38" s="374"/>
      <c r="I38" s="374"/>
      <c r="J38" s="52"/>
      <c r="K38" s="53"/>
      <c r="L38" s="52"/>
      <c r="M38" s="53"/>
      <c r="N38" s="52"/>
      <c r="O38" s="52"/>
      <c r="P38" s="52"/>
      <c r="Q38" s="52"/>
      <c r="R38" s="52"/>
    </row>
    <row r="39" spans="1:18" ht="15.75" hidden="1" customHeight="1" x14ac:dyDescent="0.25">
      <c r="B39" s="354" t="s">
        <v>16</v>
      </c>
      <c r="C39" s="354"/>
      <c r="D39" s="355" t="s">
        <v>17</v>
      </c>
      <c r="E39" s="356"/>
      <c r="F39" s="357"/>
      <c r="G39" s="358" t="s">
        <v>18</v>
      </c>
      <c r="H39" s="358"/>
      <c r="I39" s="99" t="s">
        <v>8</v>
      </c>
      <c r="J39" s="48"/>
      <c r="K39" s="48"/>
      <c r="M39" s="48"/>
    </row>
    <row r="40" spans="1:18" ht="15.75" hidden="1" customHeight="1" x14ac:dyDescent="0.25">
      <c r="B40" s="359" t="s">
        <v>19</v>
      </c>
      <c r="C40" s="359"/>
      <c r="D40" s="355"/>
      <c r="E40" s="356"/>
      <c r="F40" s="357"/>
      <c r="G40" s="360"/>
      <c r="H40" s="360"/>
      <c r="I40" s="44"/>
      <c r="J40" s="48"/>
      <c r="K40" s="45"/>
      <c r="M40" s="47"/>
    </row>
    <row r="41" spans="1:18" ht="15.75" hidden="1" customHeight="1" x14ac:dyDescent="0.25">
      <c r="B41" s="358" t="s">
        <v>20</v>
      </c>
      <c r="C41" s="358"/>
      <c r="D41" s="361"/>
      <c r="E41" s="362"/>
      <c r="F41" s="363"/>
      <c r="G41" s="364"/>
      <c r="H41" s="364"/>
      <c r="I41" s="44" t="e">
        <f>G41/D41</f>
        <v>#DIV/0!</v>
      </c>
      <c r="J41" s="48"/>
      <c r="K41" s="47"/>
    </row>
    <row r="42" spans="1:18" ht="15.75" hidden="1" customHeight="1" x14ac:dyDescent="0.25">
      <c r="B42" s="358" t="s">
        <v>21</v>
      </c>
      <c r="C42" s="358"/>
      <c r="D42" s="361"/>
      <c r="E42" s="362"/>
      <c r="F42" s="363"/>
      <c r="G42" s="364"/>
      <c r="H42" s="364"/>
      <c r="I42" s="44" t="e">
        <f>G42/D42</f>
        <v>#DIV/0!</v>
      </c>
      <c r="J42" s="46"/>
      <c r="K42" s="45"/>
    </row>
    <row r="43" spans="1:18" ht="15.75" hidden="1" customHeight="1" x14ac:dyDescent="0.25">
      <c r="B43" s="358" t="s">
        <v>22</v>
      </c>
      <c r="C43" s="358"/>
      <c r="D43" s="361"/>
      <c r="E43" s="362"/>
      <c r="F43" s="363"/>
      <c r="G43" s="364"/>
      <c r="H43" s="364"/>
      <c r="I43" s="44" t="e">
        <f>G43/D43</f>
        <v>#DIV/0!</v>
      </c>
    </row>
    <row r="44" spans="1:18" ht="15.75" customHeight="1" x14ac:dyDescent="0.25">
      <c r="B44" s="42"/>
      <c r="C44" s="43"/>
      <c r="D44" s="42"/>
      <c r="E44" s="42"/>
      <c r="F44" s="42"/>
      <c r="G44" s="41"/>
      <c r="H44" s="41"/>
      <c r="I44" s="40"/>
    </row>
    <row r="45" spans="1:18" s="38" customFormat="1" x14ac:dyDescent="0.25">
      <c r="A45" s="365" t="s">
        <v>23</v>
      </c>
      <c r="B45" s="365"/>
      <c r="C45" s="365"/>
      <c r="D45" s="365"/>
      <c r="E45" s="366" t="s">
        <v>24</v>
      </c>
      <c r="F45" s="366"/>
      <c r="G45" s="366"/>
      <c r="H45" s="366"/>
      <c r="I45" s="366"/>
      <c r="K45" s="101" t="s">
        <v>25</v>
      </c>
      <c r="L45" s="101"/>
      <c r="M45" s="101"/>
      <c r="N45" s="101"/>
    </row>
    <row r="46" spans="1:18" s="29" customFormat="1" x14ac:dyDescent="0.25">
      <c r="A46" s="100"/>
      <c r="B46" s="100"/>
      <c r="C46" s="37"/>
      <c r="D46" s="36"/>
      <c r="E46" s="35"/>
      <c r="F46" s="32"/>
      <c r="G46" s="32"/>
      <c r="H46" s="32"/>
      <c r="I46" s="34"/>
      <c r="K46" s="33"/>
      <c r="L46" s="33"/>
      <c r="M46" s="33"/>
      <c r="N46" s="32"/>
    </row>
    <row r="47" spans="1:18" s="29" customFormat="1" x14ac:dyDescent="0.25">
      <c r="A47" s="100"/>
      <c r="B47" s="100"/>
      <c r="C47" s="37"/>
      <c r="D47" s="36"/>
      <c r="E47" s="35"/>
      <c r="F47" s="32"/>
      <c r="G47" s="32"/>
      <c r="H47" s="32"/>
      <c r="I47" s="34"/>
      <c r="K47" s="33"/>
      <c r="L47" s="33"/>
      <c r="M47" s="33"/>
      <c r="N47" s="32"/>
    </row>
    <row r="48" spans="1:18" s="29" customFormat="1" ht="26.25" customHeight="1" x14ac:dyDescent="0.25">
      <c r="A48" s="372" t="s">
        <v>98</v>
      </c>
      <c r="B48" s="372"/>
      <c r="C48" s="372"/>
      <c r="D48" s="372"/>
      <c r="E48" s="373" t="s">
        <v>100</v>
      </c>
      <c r="F48" s="373"/>
      <c r="G48" s="373"/>
      <c r="H48" s="373"/>
      <c r="I48" s="373"/>
      <c r="J48" s="31" t="s">
        <v>99</v>
      </c>
      <c r="K48" s="30"/>
      <c r="L48" s="30"/>
      <c r="M48" s="30"/>
      <c r="N48" s="30"/>
    </row>
    <row r="49" spans="1:14" s="23" customFormat="1" ht="15.75" customHeight="1" x14ac:dyDescent="0.3">
      <c r="A49" s="25"/>
      <c r="B49" s="370" t="s">
        <v>66</v>
      </c>
      <c r="C49" s="370"/>
      <c r="D49" s="119"/>
      <c r="E49" s="120"/>
      <c r="F49" s="371" t="s">
        <v>65</v>
      </c>
      <c r="G49" s="371"/>
      <c r="H49" s="371"/>
      <c r="I49" s="121"/>
      <c r="J49" s="371" t="s">
        <v>95</v>
      </c>
      <c r="K49" s="371"/>
      <c r="L49" s="371"/>
      <c r="M49" s="26"/>
    </row>
    <row r="50" spans="1:14" s="23" customFormat="1" ht="15.75" customHeight="1" x14ac:dyDescent="0.3">
      <c r="A50" s="25"/>
      <c r="B50" s="337" t="s">
        <v>107</v>
      </c>
      <c r="C50" s="337"/>
      <c r="D50" s="123"/>
      <c r="E50" s="122"/>
      <c r="F50" s="375" t="s">
        <v>111</v>
      </c>
      <c r="G50" s="375"/>
      <c r="H50" s="375"/>
      <c r="I50" s="375"/>
      <c r="J50" s="337" t="s">
        <v>110</v>
      </c>
      <c r="K50" s="337"/>
      <c r="L50" s="123"/>
      <c r="M50" s="102"/>
    </row>
    <row r="51" spans="1:14" ht="15.75" customHeight="1" x14ac:dyDescent="0.2">
      <c r="A51" s="5"/>
      <c r="B51" s="17"/>
      <c r="C51" s="17"/>
      <c r="D51" s="17"/>
      <c r="G51" s="17"/>
      <c r="H51" s="17"/>
      <c r="J51" s="17"/>
      <c r="K51" s="17"/>
      <c r="L51" s="17"/>
      <c r="M51" s="17"/>
    </row>
    <row r="52" spans="1:14" ht="15.75" customHeight="1" x14ac:dyDescent="0.2"/>
    <row r="53" spans="1:14" ht="15.75" customHeight="1" x14ac:dyDescent="0.2">
      <c r="A53" s="22" t="s">
        <v>64</v>
      </c>
    </row>
    <row r="54" spans="1:14" ht="15.75" customHeight="1" x14ac:dyDescent="0.2">
      <c r="A54" s="22"/>
    </row>
    <row r="55" spans="1:14" ht="15.75" customHeight="1" x14ac:dyDescent="0.2">
      <c r="A55" s="22"/>
    </row>
    <row r="56" spans="1:14" ht="15.75" customHeight="1" x14ac:dyDescent="0.25">
      <c r="A56" s="346" t="s">
        <v>0</v>
      </c>
      <c r="B56" s="346"/>
      <c r="C56" s="346"/>
      <c r="D56" s="346"/>
      <c r="E56" s="346"/>
      <c r="F56" s="346"/>
      <c r="G56" s="346"/>
      <c r="H56" s="346"/>
      <c r="I56" s="346"/>
      <c r="J56" s="346"/>
      <c r="K56" s="346"/>
      <c r="L56" s="346"/>
      <c r="M56" s="346"/>
      <c r="N56" s="346"/>
    </row>
    <row r="57" spans="1:14" ht="15.75" customHeight="1" x14ac:dyDescent="0.2">
      <c r="B57" s="21"/>
      <c r="C57" s="21"/>
      <c r="D57" s="21"/>
      <c r="E57" s="21"/>
      <c r="F57" s="21"/>
      <c r="G57" s="21"/>
      <c r="H57" s="21"/>
    </row>
    <row r="58" spans="1:14" s="19" customFormat="1" ht="15.75" customHeight="1" x14ac:dyDescent="0.25">
      <c r="A58" s="321" t="s">
        <v>63</v>
      </c>
      <c r="B58" s="321"/>
      <c r="C58" s="321"/>
      <c r="D58" s="96"/>
      <c r="E58" s="321" t="s">
        <v>62</v>
      </c>
      <c r="F58" s="321"/>
      <c r="G58" s="321"/>
      <c r="H58" s="321"/>
      <c r="I58" s="321"/>
      <c r="J58" s="321"/>
      <c r="K58" s="321"/>
      <c r="L58" s="321"/>
      <c r="M58" s="321"/>
      <c r="N58" s="321"/>
    </row>
    <row r="59" spans="1:14" ht="15.75" customHeight="1" x14ac:dyDescent="0.2">
      <c r="A59" s="17"/>
      <c r="B59" s="17"/>
      <c r="C59" s="18"/>
      <c r="D59" s="18"/>
      <c r="F59" s="17"/>
      <c r="G59" s="17"/>
      <c r="H59" s="17"/>
    </row>
    <row r="60" spans="1:14" ht="15.75" customHeight="1" x14ac:dyDescent="0.2">
      <c r="A60" s="16" t="s">
        <v>61</v>
      </c>
      <c r="B60" s="14"/>
      <c r="C60" s="14"/>
      <c r="D60" s="14"/>
      <c r="E60" s="347" t="s">
        <v>60</v>
      </c>
      <c r="F60" s="347"/>
      <c r="G60" s="347"/>
      <c r="H60" s="347"/>
      <c r="I60" s="347"/>
    </row>
    <row r="61" spans="1:14" ht="5.0999999999999996" customHeight="1" x14ac:dyDescent="0.2">
      <c r="A61" s="103"/>
      <c r="B61" s="103"/>
      <c r="C61" s="103"/>
      <c r="D61" s="103"/>
      <c r="E61" s="103"/>
      <c r="F61" s="10"/>
      <c r="G61" s="10"/>
    </row>
    <row r="62" spans="1:14" ht="15.75" customHeight="1" x14ac:dyDescent="0.25">
      <c r="A62" s="348" t="s">
        <v>59</v>
      </c>
      <c r="B62" s="348"/>
      <c r="C62" s="14"/>
      <c r="D62" s="14"/>
      <c r="E62" s="347" t="s">
        <v>58</v>
      </c>
      <c r="F62" s="347"/>
      <c r="G62" s="347"/>
      <c r="H62" s="347"/>
      <c r="I62" s="347"/>
      <c r="J62" s="13"/>
      <c r="K62" s="13"/>
      <c r="L62" s="13"/>
      <c r="M62" s="13"/>
      <c r="N62" s="13"/>
    </row>
    <row r="63" spans="1:14" ht="5.0999999999999996" customHeight="1" x14ac:dyDescent="0.2">
      <c r="A63" s="5"/>
      <c r="B63" s="5"/>
    </row>
    <row r="64" spans="1:14" ht="15.75" customHeight="1" x14ac:dyDescent="0.25">
      <c r="A64" s="3" t="s">
        <v>57</v>
      </c>
      <c r="B64" s="3"/>
      <c r="E64" s="2" t="s">
        <v>56</v>
      </c>
    </row>
    <row r="65" spans="1:14" ht="5.0999999999999996" customHeight="1" x14ac:dyDescent="0.2">
      <c r="A65" s="5"/>
      <c r="B65" s="5"/>
    </row>
    <row r="66" spans="1:14" ht="47.25" customHeight="1" x14ac:dyDescent="0.25">
      <c r="A66" s="11" t="s">
        <v>55</v>
      </c>
      <c r="B66" s="3"/>
      <c r="E66" s="349" t="s">
        <v>54</v>
      </c>
      <c r="F66" s="349"/>
      <c r="G66" s="349"/>
      <c r="H66" s="349"/>
      <c r="I66" s="349"/>
      <c r="J66" s="349"/>
      <c r="K66" s="349"/>
      <c r="L66" s="349"/>
      <c r="M66" s="349"/>
      <c r="N66" s="349"/>
    </row>
    <row r="67" spans="1:14" ht="5.0999999999999996" customHeight="1" x14ac:dyDescent="0.2">
      <c r="A67" s="5"/>
      <c r="B67" s="5"/>
      <c r="E67" s="12"/>
    </row>
    <row r="68" spans="1:14" ht="47.25" customHeight="1" x14ac:dyDescent="0.25">
      <c r="A68" s="11" t="s">
        <v>53</v>
      </c>
      <c r="B68" s="3"/>
      <c r="E68" s="350" t="s">
        <v>52</v>
      </c>
      <c r="F68" s="350"/>
      <c r="G68" s="350"/>
      <c r="H68" s="350"/>
      <c r="I68" s="350"/>
      <c r="J68" s="350"/>
      <c r="K68" s="350"/>
      <c r="L68" s="350"/>
      <c r="M68" s="350"/>
      <c r="N68" s="350"/>
    </row>
    <row r="69" spans="1:14" ht="5.0999999999999996" customHeight="1" x14ac:dyDescent="0.25">
      <c r="A69" s="5"/>
      <c r="B69" s="5"/>
      <c r="E69" s="2"/>
    </row>
    <row r="70" spans="1:14" ht="49.5" customHeight="1" x14ac:dyDescent="0.25">
      <c r="A70" s="11" t="s">
        <v>6</v>
      </c>
      <c r="B70" s="3"/>
      <c r="E70" s="351" t="s">
        <v>51</v>
      </c>
      <c r="F70" s="351"/>
      <c r="G70" s="351"/>
      <c r="H70" s="351"/>
      <c r="I70" s="351"/>
      <c r="J70" s="351"/>
      <c r="K70" s="351"/>
      <c r="L70" s="351"/>
      <c r="M70" s="351"/>
      <c r="N70" s="351"/>
    </row>
    <row r="71" spans="1:14" ht="5.0999999999999996" customHeight="1" x14ac:dyDescent="0.25">
      <c r="A71" s="5"/>
      <c r="B71" s="5"/>
      <c r="E71" s="2"/>
    </row>
    <row r="72" spans="1:14" ht="49.5" customHeight="1" x14ac:dyDescent="0.25">
      <c r="A72" s="11" t="s">
        <v>50</v>
      </c>
      <c r="B72" s="3"/>
      <c r="E72" s="351" t="s">
        <v>49</v>
      </c>
      <c r="F72" s="351"/>
      <c r="G72" s="351"/>
      <c r="H72" s="351"/>
      <c r="I72" s="351"/>
      <c r="J72" s="351"/>
      <c r="K72" s="351"/>
      <c r="L72" s="351"/>
      <c r="M72" s="351"/>
      <c r="N72" s="351"/>
    </row>
    <row r="73" spans="1:14" ht="5.0999999999999996" customHeight="1" x14ac:dyDescent="0.2">
      <c r="A73" s="10"/>
      <c r="B73" s="10"/>
    </row>
    <row r="74" spans="1:14" ht="30.75" customHeight="1" x14ac:dyDescent="0.25">
      <c r="A74" s="9" t="s">
        <v>8</v>
      </c>
      <c r="B74" s="3"/>
      <c r="E74" s="349" t="s">
        <v>48</v>
      </c>
      <c r="F74" s="352"/>
      <c r="G74" s="352"/>
      <c r="H74" s="352"/>
      <c r="I74" s="352"/>
      <c r="J74" s="352"/>
      <c r="K74" s="352"/>
      <c r="L74" s="352"/>
      <c r="M74" s="352"/>
      <c r="N74" s="352"/>
    </row>
    <row r="75" spans="1:14" ht="5.0999999999999996" customHeight="1" x14ac:dyDescent="0.2">
      <c r="A75" s="5"/>
      <c r="B75" s="5"/>
    </row>
    <row r="76" spans="1:14" ht="15.75" customHeight="1" x14ac:dyDescent="0.25">
      <c r="A76" s="3" t="s">
        <v>47</v>
      </c>
      <c r="B76" s="3"/>
      <c r="E76" s="2" t="s">
        <v>46</v>
      </c>
    </row>
    <row r="77" spans="1:14" ht="5.0999999999999996" customHeight="1" x14ac:dyDescent="0.2">
      <c r="A77" s="5"/>
      <c r="B77" s="5"/>
    </row>
    <row r="78" spans="1:14" ht="15.75" customHeight="1" x14ac:dyDescent="0.25">
      <c r="A78" s="8" t="s">
        <v>45</v>
      </c>
      <c r="B78" s="3"/>
      <c r="E78" s="7" t="s">
        <v>44</v>
      </c>
    </row>
    <row r="79" spans="1:14" ht="5.0999999999999996" customHeight="1" x14ac:dyDescent="0.2">
      <c r="A79" s="5"/>
      <c r="B79" s="5"/>
    </row>
    <row r="80" spans="1:14" ht="15.75" customHeight="1" x14ac:dyDescent="0.25">
      <c r="A80" s="3" t="s">
        <v>43</v>
      </c>
      <c r="B80" s="3"/>
      <c r="E80" s="2" t="s">
        <v>42</v>
      </c>
    </row>
    <row r="81" spans="1:14" ht="5.0999999999999996" customHeight="1" x14ac:dyDescent="0.2">
      <c r="A81" s="5"/>
      <c r="B81" s="5"/>
    </row>
    <row r="82" spans="1:14" ht="15.75" customHeight="1" x14ac:dyDescent="0.25">
      <c r="A82" s="3" t="s">
        <v>41</v>
      </c>
      <c r="B82" s="3"/>
      <c r="E82" s="2" t="s">
        <v>40</v>
      </c>
    </row>
    <row r="83" spans="1:14" ht="5.0999999999999996" customHeight="1" x14ac:dyDescent="0.25">
      <c r="A83" s="3"/>
      <c r="B83" s="3"/>
      <c r="E83" s="2"/>
    </row>
    <row r="84" spans="1:14" ht="15.75" customHeight="1" x14ac:dyDescent="0.25">
      <c r="A84" s="8" t="s">
        <v>39</v>
      </c>
      <c r="B84" s="3"/>
      <c r="E84" s="7" t="s">
        <v>38</v>
      </c>
    </row>
    <row r="85" spans="1:14" ht="5.0999999999999996" customHeight="1" x14ac:dyDescent="0.2">
      <c r="A85" s="5"/>
      <c r="B85" s="5"/>
    </row>
    <row r="86" spans="1:14" ht="37.5" customHeight="1" x14ac:dyDescent="0.25">
      <c r="A86" s="6" t="s">
        <v>37</v>
      </c>
      <c r="B86" s="3"/>
      <c r="E86" s="344" t="s">
        <v>36</v>
      </c>
      <c r="F86" s="345"/>
      <c r="G86" s="345"/>
      <c r="H86" s="345"/>
      <c r="I86" s="345"/>
      <c r="J86" s="345"/>
      <c r="K86" s="345"/>
      <c r="L86" s="345"/>
      <c r="M86" s="345"/>
      <c r="N86" s="345"/>
    </row>
    <row r="87" spans="1:14" ht="5.0999999999999996" customHeight="1" x14ac:dyDescent="0.2">
      <c r="A87" s="5"/>
      <c r="B87" s="5"/>
    </row>
    <row r="88" spans="1:14" ht="15.75" customHeight="1" x14ac:dyDescent="0.25">
      <c r="A88" s="3" t="s">
        <v>35</v>
      </c>
      <c r="B88" s="3"/>
      <c r="E88" s="2" t="s">
        <v>34</v>
      </c>
    </row>
    <row r="89" spans="1:14" ht="5.0999999999999996" customHeight="1" x14ac:dyDescent="0.2">
      <c r="A89" s="5"/>
      <c r="B89" s="5"/>
    </row>
    <row r="90" spans="1:14" ht="15.75" customHeight="1" x14ac:dyDescent="0.25">
      <c r="A90" s="3" t="s">
        <v>33</v>
      </c>
      <c r="B90" s="3"/>
      <c r="E90" s="2" t="s">
        <v>32</v>
      </c>
    </row>
    <row r="91" spans="1:14" ht="5.0999999999999996" customHeight="1" x14ac:dyDescent="0.2">
      <c r="A91" s="5"/>
      <c r="B91" s="5"/>
    </row>
    <row r="92" spans="1:14" ht="15.75" customHeight="1" x14ac:dyDescent="0.25">
      <c r="A92" s="3" t="s">
        <v>31</v>
      </c>
      <c r="B92" s="3"/>
      <c r="E92" s="2" t="s">
        <v>30</v>
      </c>
    </row>
    <row r="93" spans="1:14" ht="5.0999999999999996" customHeight="1" x14ac:dyDescent="0.2">
      <c r="A93" s="5"/>
      <c r="B93" s="5"/>
    </row>
    <row r="94" spans="1:14" ht="15.75" customHeight="1" x14ac:dyDescent="0.25">
      <c r="A94" s="3" t="s">
        <v>29</v>
      </c>
      <c r="B94" s="3"/>
      <c r="E94" s="2" t="s">
        <v>28</v>
      </c>
    </row>
    <row r="95" spans="1:14" ht="5.0999999999999996" customHeight="1" x14ac:dyDescent="0.2">
      <c r="A95" s="5"/>
      <c r="B95" s="5"/>
    </row>
    <row r="96" spans="1:14" ht="15.75" customHeight="1" x14ac:dyDescent="0.25">
      <c r="A96" s="4" t="s">
        <v>14</v>
      </c>
      <c r="B96" s="3"/>
      <c r="E96" s="2" t="s">
        <v>27</v>
      </c>
    </row>
  </sheetData>
  <mergeCells count="55">
    <mergeCell ref="F50:I50"/>
    <mergeCell ref="J49:L49"/>
    <mergeCell ref="K12:K13"/>
    <mergeCell ref="A4:N4"/>
    <mergeCell ref="A6:N6"/>
    <mergeCell ref="D7:I7"/>
    <mergeCell ref="C11:G11"/>
    <mergeCell ref="H11:K11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C38:I38"/>
    <mergeCell ref="B39:C39"/>
    <mergeCell ref="D39:F39"/>
    <mergeCell ref="G39:H39"/>
    <mergeCell ref="A35:L37"/>
    <mergeCell ref="B40:C40"/>
    <mergeCell ref="D40:F40"/>
    <mergeCell ref="G40:H40"/>
    <mergeCell ref="A48:D48"/>
    <mergeCell ref="E48:I48"/>
    <mergeCell ref="B41:C41"/>
    <mergeCell ref="D41:F41"/>
    <mergeCell ref="G41:H41"/>
    <mergeCell ref="B42:C42"/>
    <mergeCell ref="D42:F42"/>
    <mergeCell ref="G42:H42"/>
    <mergeCell ref="B43:C43"/>
    <mergeCell ref="D43:F43"/>
    <mergeCell ref="G43:H43"/>
    <mergeCell ref="A45:D45"/>
    <mergeCell ref="E45:I45"/>
    <mergeCell ref="B49:C49"/>
    <mergeCell ref="F49:H49"/>
    <mergeCell ref="B50:C50"/>
    <mergeCell ref="J50:K50"/>
    <mergeCell ref="E86:N86"/>
    <mergeCell ref="A56:N56"/>
    <mergeCell ref="A58:C58"/>
    <mergeCell ref="E58:N58"/>
    <mergeCell ref="E60:I60"/>
    <mergeCell ref="A62:B62"/>
    <mergeCell ref="E62:I62"/>
    <mergeCell ref="E66:N66"/>
    <mergeCell ref="E68:N68"/>
    <mergeCell ref="E70:N70"/>
    <mergeCell ref="E72:N72"/>
    <mergeCell ref="E74:N74"/>
  </mergeCells>
  <pageMargins left="0.62992125984251968" right="0.62992125984251968" top="0.39370078740157483" bottom="0.23622047244094491" header="0" footer="0"/>
  <pageSetup scale="69" orientation="landscape" r:id="rId1"/>
  <headerFooter alignWithMargins="0">
    <oddFooter>&amp;R</oddFooter>
  </headerFooter>
  <rowBreaks count="1" manualBreakCount="1">
    <brk id="5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4:S105"/>
  <sheetViews>
    <sheetView showGridLines="0" topLeftCell="A5" zoomScale="130" zoomScaleNormal="130" zoomScaleSheetLayoutView="100" workbookViewId="0">
      <selection activeCell="C17" sqref="C17"/>
    </sheetView>
  </sheetViews>
  <sheetFormatPr baseColWidth="10" defaultRowHeight="12.75" x14ac:dyDescent="0.2"/>
  <cols>
    <col min="1" max="1" width="24.5703125" style="1" customWidth="1"/>
    <col min="2" max="2" width="11.28515625" style="1" customWidth="1"/>
    <col min="3" max="3" width="16.425781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113"/>
      <c r="B7" s="113"/>
      <c r="C7" s="113"/>
      <c r="D7" s="321" t="s">
        <v>115</v>
      </c>
      <c r="E7" s="321"/>
      <c r="F7" s="321"/>
      <c r="G7" s="321"/>
      <c r="H7" s="321"/>
      <c r="I7" s="321"/>
      <c r="J7" s="113"/>
      <c r="K7" s="113"/>
      <c r="L7" s="113"/>
      <c r="M7" s="113"/>
      <c r="N7" s="113"/>
    </row>
    <row r="8" spans="1:14" ht="15.75" customHeight="1" x14ac:dyDescent="0.25">
      <c r="A8" s="85"/>
      <c r="B8" s="84"/>
      <c r="C8" s="84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</row>
    <row r="9" spans="1:14" ht="15.75" hidden="1" customHeight="1" x14ac:dyDescent="0.25">
      <c r="A9" s="85" t="s">
        <v>1</v>
      </c>
      <c r="B9" s="84"/>
      <c r="C9" s="84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</row>
    <row r="10" spans="1:14" ht="15.75" customHeight="1" x14ac:dyDescent="0.2">
      <c r="B10" s="5"/>
      <c r="C10" s="83"/>
      <c r="D10" s="5"/>
      <c r="E10" s="2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115"/>
      <c r="M12" s="115"/>
      <c r="N12" s="114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115"/>
      <c r="M13" s="115"/>
      <c r="N13" s="79" t="s">
        <v>15</v>
      </c>
    </row>
    <row r="14" spans="1:14" ht="15.75" customHeight="1" x14ac:dyDescent="0.25">
      <c r="A14" s="77" t="s">
        <v>81</v>
      </c>
      <c r="B14" s="78"/>
      <c r="C14" s="73">
        <v>3313550.11</v>
      </c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73">
        <v>0</v>
      </c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73">
        <v>2122015</v>
      </c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73">
        <v>1237730.46</v>
      </c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73">
        <v>0</v>
      </c>
      <c r="D18" s="58"/>
      <c r="F18" s="60"/>
      <c r="G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>
        <v>13131151.18</v>
      </c>
      <c r="C19" s="73">
        <f>SUM(C14:C18)</f>
        <v>6673295.5699999994</v>
      </c>
      <c r="D19" s="58"/>
      <c r="E19" s="58">
        <v>5032505.34</v>
      </c>
      <c r="F19" s="73"/>
      <c r="G19" s="56">
        <f>+C19+D19-E19</f>
        <v>1640790.2299999995</v>
      </c>
      <c r="H19" s="56">
        <f>365919.03+1286365.2</f>
        <v>1652284.23</v>
      </c>
      <c r="I19" s="56">
        <v>0</v>
      </c>
      <c r="J19" s="56">
        <f>9937+0.4</f>
        <v>9937.4</v>
      </c>
      <c r="K19" s="56">
        <f>+H19+I19-J19</f>
        <v>1642346.83</v>
      </c>
      <c r="L19" s="73">
        <f>+G19-K19</f>
        <v>-1556.6000000005588</v>
      </c>
      <c r="M19" s="56">
        <f>G19-K19</f>
        <v>-1556.6000000005588</v>
      </c>
      <c r="N19" s="72"/>
      <c r="O19" s="68"/>
    </row>
    <row r="20" spans="1:19" ht="15.75" customHeight="1" x14ac:dyDescent="0.25">
      <c r="A20" s="62" t="s">
        <v>75</v>
      </c>
      <c r="B20" s="61">
        <v>16873510</v>
      </c>
      <c r="C20" s="63">
        <v>5303568.57</v>
      </c>
      <c r="D20" s="58"/>
      <c r="E20" s="58">
        <v>3091927.03</v>
      </c>
      <c r="F20" s="60">
        <f t="shared" ref="F20:F30" si="0">E20/C20</f>
        <v>0.58298992257584781</v>
      </c>
      <c r="G20" s="56">
        <f t="shared" ref="G20:G32" si="1">+C20+D20-E20</f>
        <v>2211641.5400000005</v>
      </c>
      <c r="H20" s="56">
        <v>1958011.36</v>
      </c>
      <c r="I20" s="56">
        <v>0</v>
      </c>
      <c r="J20" s="56">
        <f>57214.58-1.15</f>
        <v>57213.43</v>
      </c>
      <c r="K20" s="56">
        <f t="shared" ref="K20:K33" si="2">+H20+I20-J20</f>
        <v>1900797.9300000002</v>
      </c>
      <c r="L20" s="73">
        <f t="shared" ref="L20:L33" si="3">+G20-K20</f>
        <v>310843.61000000034</v>
      </c>
      <c r="M20" s="56">
        <f t="shared" ref="M20:M33" si="4">G20-K20</f>
        <v>310843.61000000034</v>
      </c>
      <c r="N20" s="60">
        <f t="shared" ref="N20:N29" si="5">E20/B20</f>
        <v>0.1832414850259371</v>
      </c>
      <c r="O20" s="70"/>
      <c r="P20" s="71"/>
      <c r="Q20" s="48"/>
    </row>
    <row r="21" spans="1:19" ht="15.75" customHeight="1" x14ac:dyDescent="0.25">
      <c r="A21" s="62" t="s">
        <v>74</v>
      </c>
      <c r="B21" s="61">
        <v>7436006</v>
      </c>
      <c r="C21" s="61">
        <v>2613502.4900000002</v>
      </c>
      <c r="D21" s="58"/>
      <c r="E21" s="58">
        <v>1755879.78</v>
      </c>
      <c r="F21" s="60">
        <f t="shared" si="0"/>
        <v>0.67184928528612187</v>
      </c>
      <c r="G21" s="56">
        <f t="shared" si="1"/>
        <v>857622.7100000002</v>
      </c>
      <c r="H21" s="56">
        <v>1014008.71</v>
      </c>
      <c r="I21" s="56">
        <v>0</v>
      </c>
      <c r="J21" s="56">
        <v>0</v>
      </c>
      <c r="K21" s="56">
        <f t="shared" si="2"/>
        <v>1014008.71</v>
      </c>
      <c r="L21" s="73">
        <f t="shared" si="3"/>
        <v>-156385.99999999977</v>
      </c>
      <c r="M21" s="56">
        <f t="shared" si="4"/>
        <v>-156385.99999999977</v>
      </c>
      <c r="N21" s="60">
        <f t="shared" si="5"/>
        <v>0.23613210909189691</v>
      </c>
      <c r="O21" s="70"/>
      <c r="P21" s="69"/>
      <c r="Q21" s="45"/>
    </row>
    <row r="22" spans="1:19" ht="15.75" customHeight="1" x14ac:dyDescent="0.25">
      <c r="A22" s="62" t="s">
        <v>73</v>
      </c>
      <c r="B22" s="61">
        <v>281545</v>
      </c>
      <c r="C22" s="63">
        <v>116608.95</v>
      </c>
      <c r="D22" s="104"/>
      <c r="E22" s="58">
        <v>0</v>
      </c>
      <c r="F22" s="60">
        <f>E22/C22</f>
        <v>0</v>
      </c>
      <c r="G22" s="56">
        <f>+C22+D22-E22</f>
        <v>116608.95</v>
      </c>
      <c r="H22" s="56">
        <v>116608.95</v>
      </c>
      <c r="I22" s="56">
        <v>0</v>
      </c>
      <c r="J22" s="56">
        <v>0</v>
      </c>
      <c r="K22" s="56">
        <f t="shared" si="2"/>
        <v>116608.95</v>
      </c>
      <c r="L22" s="73">
        <f t="shared" si="3"/>
        <v>0</v>
      </c>
      <c r="M22" s="56">
        <f t="shared" si="4"/>
        <v>0</v>
      </c>
      <c r="N22" s="60">
        <f t="shared" si="5"/>
        <v>0</v>
      </c>
      <c r="O22" s="68"/>
    </row>
    <row r="23" spans="1:19" ht="15.75" customHeight="1" x14ac:dyDescent="0.25">
      <c r="A23" s="62" t="s">
        <v>86</v>
      </c>
      <c r="B23" s="61">
        <v>824025</v>
      </c>
      <c r="C23" s="61">
        <v>373295.83</v>
      </c>
      <c r="D23" s="58"/>
      <c r="E23" s="58">
        <v>117806.24</v>
      </c>
      <c r="F23" s="60">
        <f t="shared" ref="F23:F25" si="6">E23/C23</f>
        <v>0.31558413068798546</v>
      </c>
      <c r="G23" s="56">
        <f>+C23+D23-E23</f>
        <v>255489.59000000003</v>
      </c>
      <c r="H23" s="56">
        <v>255489.59</v>
      </c>
      <c r="I23" s="56">
        <v>0</v>
      </c>
      <c r="J23" s="56">
        <v>0</v>
      </c>
      <c r="K23" s="56">
        <f t="shared" si="2"/>
        <v>255489.59</v>
      </c>
      <c r="L23" s="73">
        <f t="shared" si="3"/>
        <v>0</v>
      </c>
      <c r="M23" s="56">
        <f t="shared" si="4"/>
        <v>0</v>
      </c>
      <c r="N23" s="60">
        <f t="shared" si="5"/>
        <v>0.14296440035193109</v>
      </c>
    </row>
    <row r="24" spans="1:19" ht="15.75" customHeight="1" x14ac:dyDescent="0.25">
      <c r="A24" s="62" t="s">
        <v>72</v>
      </c>
      <c r="B24" s="61">
        <v>600184</v>
      </c>
      <c r="C24" s="61">
        <v>140473.39000000001</v>
      </c>
      <c r="D24" s="58"/>
      <c r="E24" s="58">
        <v>63948.59</v>
      </c>
      <c r="F24" s="60">
        <f t="shared" si="6"/>
        <v>0.45523632625367688</v>
      </c>
      <c r="G24" s="56">
        <f t="shared" si="1"/>
        <v>76524.800000000017</v>
      </c>
      <c r="H24" s="56">
        <v>76524.800000000003</v>
      </c>
      <c r="I24" s="56">
        <v>0</v>
      </c>
      <c r="J24" s="56">
        <v>0</v>
      </c>
      <c r="K24" s="56">
        <f t="shared" si="2"/>
        <v>76524.800000000003</v>
      </c>
      <c r="L24" s="73">
        <f t="shared" si="3"/>
        <v>0</v>
      </c>
      <c r="M24" s="56">
        <f t="shared" si="4"/>
        <v>0</v>
      </c>
      <c r="N24" s="60">
        <f t="shared" si="5"/>
        <v>0.10654830851872092</v>
      </c>
    </row>
    <row r="25" spans="1:19" ht="15.75" customHeight="1" x14ac:dyDescent="0.25">
      <c r="A25" s="62" t="s">
        <v>93</v>
      </c>
      <c r="B25" s="61">
        <v>11851740</v>
      </c>
      <c r="C25" s="63">
        <v>3950703.83</v>
      </c>
      <c r="D25" s="104"/>
      <c r="E25" s="104">
        <v>2793279.98</v>
      </c>
      <c r="F25" s="60">
        <f t="shared" si="6"/>
        <v>0.70703350597657932</v>
      </c>
      <c r="G25" s="56">
        <f t="shared" si="1"/>
        <v>1157423.8500000001</v>
      </c>
      <c r="H25" s="67">
        <v>1331611.8899999999</v>
      </c>
      <c r="I25" s="67"/>
      <c r="J25" s="67">
        <f>20885+194.91+207.12</f>
        <v>21287.03</v>
      </c>
      <c r="K25" s="56">
        <f t="shared" si="2"/>
        <v>1310324.8599999999</v>
      </c>
      <c r="L25" s="73">
        <f t="shared" si="3"/>
        <v>-152901.00999999978</v>
      </c>
      <c r="M25" s="56">
        <f t="shared" si="4"/>
        <v>-152901.00999999978</v>
      </c>
      <c r="N25" s="66">
        <f t="shared" si="5"/>
        <v>0.2356852225917882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91</v>
      </c>
      <c r="B26" s="61">
        <v>3479677</v>
      </c>
      <c r="C26" s="58">
        <v>1392052.52</v>
      </c>
      <c r="D26" s="104"/>
      <c r="E26" s="58">
        <v>0</v>
      </c>
      <c r="F26" s="66">
        <f t="shared" si="0"/>
        <v>0</v>
      </c>
      <c r="G26" s="67">
        <f>+C26+D26-E26</f>
        <v>1392052.52</v>
      </c>
      <c r="H26" s="56">
        <v>1392052.52</v>
      </c>
      <c r="I26" s="56">
        <v>0</v>
      </c>
      <c r="J26" s="56">
        <v>0</v>
      </c>
      <c r="K26" s="56">
        <f t="shared" si="2"/>
        <v>1392052.52</v>
      </c>
      <c r="L26" s="73">
        <f t="shared" si="3"/>
        <v>0</v>
      </c>
      <c r="M26" s="56">
        <f t="shared" si="4"/>
        <v>0</v>
      </c>
      <c r="N26" s="60">
        <f t="shared" si="5"/>
        <v>0</v>
      </c>
      <c r="O26" s="64"/>
    </row>
    <row r="27" spans="1:19" ht="15.75" customHeight="1" x14ac:dyDescent="0.25">
      <c r="A27" s="62" t="s">
        <v>90</v>
      </c>
      <c r="B27" s="61">
        <v>0</v>
      </c>
      <c r="C27" s="58">
        <v>0</v>
      </c>
      <c r="D27" s="104"/>
      <c r="E27" s="58">
        <v>0</v>
      </c>
      <c r="F27" s="66">
        <v>0</v>
      </c>
      <c r="G27" s="67">
        <f>+C27+D27-E27</f>
        <v>0</v>
      </c>
      <c r="H27" s="56">
        <v>0</v>
      </c>
      <c r="I27" s="56">
        <v>0</v>
      </c>
      <c r="J27" s="56">
        <v>0</v>
      </c>
      <c r="K27" s="56">
        <f>+H27+I27-J27</f>
        <v>0</v>
      </c>
      <c r="L27" s="73">
        <f t="shared" si="3"/>
        <v>0</v>
      </c>
      <c r="M27" s="56">
        <f t="shared" si="4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63">
        <v>99465</v>
      </c>
      <c r="C28" s="61">
        <v>59549.77</v>
      </c>
      <c r="D28" s="58"/>
      <c r="E28" s="58">
        <v>31494.04</v>
      </c>
      <c r="F28" s="60">
        <f t="shared" si="0"/>
        <v>0.52886921309687684</v>
      </c>
      <c r="G28" s="67">
        <f>+C28+D28-E28</f>
        <v>28055.729999999996</v>
      </c>
      <c r="H28" s="56">
        <v>28055.73</v>
      </c>
      <c r="I28" s="56">
        <v>0</v>
      </c>
      <c r="J28" s="56">
        <v>0</v>
      </c>
      <c r="K28" s="56">
        <f t="shared" si="2"/>
        <v>28055.73</v>
      </c>
      <c r="L28" s="73">
        <f t="shared" si="3"/>
        <v>0</v>
      </c>
      <c r="M28" s="56">
        <f t="shared" si="4"/>
        <v>0</v>
      </c>
      <c r="N28" s="60">
        <f t="shared" si="5"/>
        <v>0.31663439400794252</v>
      </c>
    </row>
    <row r="29" spans="1:19" ht="15.75" customHeight="1" x14ac:dyDescent="0.25">
      <c r="A29" s="62" t="s">
        <v>69</v>
      </c>
      <c r="B29" s="61">
        <v>29793</v>
      </c>
      <c r="C29" s="61">
        <v>9932.36</v>
      </c>
      <c r="D29" s="58"/>
      <c r="E29" s="58">
        <v>0</v>
      </c>
      <c r="F29" s="60">
        <f t="shared" si="0"/>
        <v>0</v>
      </c>
      <c r="G29" s="56">
        <f t="shared" si="1"/>
        <v>9932.36</v>
      </c>
      <c r="H29" s="56">
        <v>9932.36</v>
      </c>
      <c r="I29" s="56">
        <v>0</v>
      </c>
      <c r="J29" s="56">
        <v>0</v>
      </c>
      <c r="K29" s="56">
        <f t="shared" si="2"/>
        <v>9932.36</v>
      </c>
      <c r="L29" s="73">
        <f t="shared" si="3"/>
        <v>0</v>
      </c>
      <c r="M29" s="56">
        <f t="shared" si="4"/>
        <v>0</v>
      </c>
      <c r="N29" s="60">
        <f t="shared" si="5"/>
        <v>0</v>
      </c>
    </row>
    <row r="30" spans="1:19" ht="15.75" customHeight="1" x14ac:dyDescent="0.25">
      <c r="A30" s="62" t="s">
        <v>26</v>
      </c>
      <c r="B30" s="61"/>
      <c r="C30" s="112">
        <v>68763.44</v>
      </c>
      <c r="D30" s="58"/>
      <c r="E30" s="58">
        <v>0</v>
      </c>
      <c r="F30" s="60">
        <f t="shared" si="0"/>
        <v>0</v>
      </c>
      <c r="G30" s="56">
        <f t="shared" si="1"/>
        <v>68763.44</v>
      </c>
      <c r="H30" s="56">
        <v>68763.44</v>
      </c>
      <c r="I30" s="56">
        <v>0</v>
      </c>
      <c r="J30" s="56">
        <v>0</v>
      </c>
      <c r="K30" s="56">
        <f t="shared" si="2"/>
        <v>68763.44</v>
      </c>
      <c r="L30" s="73">
        <f t="shared" si="3"/>
        <v>0</v>
      </c>
      <c r="M30" s="56">
        <f t="shared" si="4"/>
        <v>0</v>
      </c>
      <c r="N30" s="60">
        <v>0</v>
      </c>
    </row>
    <row r="31" spans="1:19" ht="15.75" customHeight="1" x14ac:dyDescent="0.25">
      <c r="A31" s="62" t="s">
        <v>85</v>
      </c>
      <c r="B31" s="61"/>
      <c r="C31" s="61">
        <v>0</v>
      </c>
      <c r="D31" s="58"/>
      <c r="E31" s="58">
        <v>0</v>
      </c>
      <c r="F31" s="60">
        <v>0</v>
      </c>
      <c r="G31" s="56">
        <f t="shared" si="1"/>
        <v>0</v>
      </c>
      <c r="H31" s="56">
        <v>0</v>
      </c>
      <c r="I31" s="56">
        <v>0</v>
      </c>
      <c r="J31" s="56">
        <v>0</v>
      </c>
      <c r="K31" s="56">
        <f t="shared" si="2"/>
        <v>0</v>
      </c>
      <c r="L31" s="73">
        <f t="shared" si="3"/>
        <v>0</v>
      </c>
      <c r="M31" s="56">
        <f t="shared" si="4"/>
        <v>0</v>
      </c>
      <c r="N31" s="60"/>
    </row>
    <row r="32" spans="1:19" ht="15.75" customHeight="1" x14ac:dyDescent="0.25">
      <c r="A32" s="62" t="s">
        <v>84</v>
      </c>
      <c r="B32" s="61">
        <v>1700000</v>
      </c>
      <c r="C32" s="61">
        <v>251977.39</v>
      </c>
      <c r="D32" s="58"/>
      <c r="E32" s="58">
        <v>251977.38</v>
      </c>
      <c r="F32" s="60"/>
      <c r="G32" s="56">
        <f t="shared" si="1"/>
        <v>1.0000000009313226E-2</v>
      </c>
      <c r="H32" s="56">
        <v>0.01</v>
      </c>
      <c r="I32" s="56"/>
      <c r="J32" s="56">
        <v>0</v>
      </c>
      <c r="K32" s="56">
        <f t="shared" si="2"/>
        <v>0.01</v>
      </c>
      <c r="L32" s="73">
        <f t="shared" si="3"/>
        <v>9.313225537987968E-12</v>
      </c>
      <c r="M32" s="56">
        <f t="shared" si="4"/>
        <v>9.313225537987968E-12</v>
      </c>
      <c r="N32" s="60"/>
    </row>
    <row r="33" spans="1:18" ht="15.75" customHeight="1" x14ac:dyDescent="0.25">
      <c r="A33" s="107" t="s">
        <v>92</v>
      </c>
      <c r="B33" s="108"/>
      <c r="C33" s="108"/>
      <c r="D33" s="108"/>
      <c r="E33" s="108">
        <v>0</v>
      </c>
      <c r="F33" s="109">
        <v>0</v>
      </c>
      <c r="G33" s="110">
        <f t="shared" ref="G33" si="7">C33-E33</f>
        <v>0</v>
      </c>
      <c r="H33" s="110">
        <v>173.01</v>
      </c>
      <c r="I33" s="110">
        <v>103243.35</v>
      </c>
      <c r="J33" s="110">
        <f>103243.35+173.01</f>
        <v>103416.36</v>
      </c>
      <c r="K33" s="56">
        <f t="shared" si="2"/>
        <v>0</v>
      </c>
      <c r="L33" s="73">
        <f t="shared" si="3"/>
        <v>0</v>
      </c>
      <c r="M33" s="56">
        <f t="shared" si="4"/>
        <v>0</v>
      </c>
      <c r="N33" s="60"/>
    </row>
    <row r="34" spans="1:18" ht="15.75" customHeight="1" x14ac:dyDescent="0.25">
      <c r="A34" s="59" t="s">
        <v>68</v>
      </c>
      <c r="B34" s="58">
        <f>SUM(B19:B33)</f>
        <v>56307096.18</v>
      </c>
      <c r="C34" s="58">
        <f>SUM(C19:C33)</f>
        <v>20953724.110000003</v>
      </c>
      <c r="D34" s="58">
        <f>SUM(D19:D33)</f>
        <v>0</v>
      </c>
      <c r="E34" s="58">
        <f>SUM(E19:E33)</f>
        <v>13138818.379999999</v>
      </c>
      <c r="F34" s="57"/>
      <c r="G34" s="56">
        <f t="shared" ref="G34:M34" si="8">SUM(G19:G33)</f>
        <v>7814905.7300000004</v>
      </c>
      <c r="H34" s="56">
        <f>SUM(H19:H33)</f>
        <v>7903516.5999999996</v>
      </c>
      <c r="I34" s="56">
        <f t="shared" si="8"/>
        <v>103243.35</v>
      </c>
      <c r="J34" s="56">
        <f t="shared" si="8"/>
        <v>191854.22</v>
      </c>
      <c r="K34" s="56">
        <f t="shared" si="8"/>
        <v>7814905.7300000004</v>
      </c>
      <c r="L34" s="56">
        <f t="shared" si="8"/>
        <v>2.421438691918576E-10</v>
      </c>
      <c r="M34" s="56">
        <f t="shared" si="8"/>
        <v>2.421438691918576E-10</v>
      </c>
      <c r="N34" s="56"/>
    </row>
    <row r="35" spans="1:18" ht="15.75" customHeight="1" x14ac:dyDescent="0.25">
      <c r="A35" s="153"/>
      <c r="B35" s="154"/>
      <c r="C35" s="154"/>
      <c r="D35" s="154"/>
      <c r="E35" s="154"/>
      <c r="F35" s="155"/>
      <c r="G35" s="55"/>
      <c r="H35" s="55"/>
      <c r="I35" s="55"/>
      <c r="J35" s="55"/>
      <c r="K35" s="55"/>
      <c r="L35" s="55"/>
      <c r="M35" s="55"/>
      <c r="N35" s="55"/>
    </row>
    <row r="36" spans="1:18" ht="15.75" customHeight="1" x14ac:dyDescent="0.25">
      <c r="A36" s="153"/>
      <c r="B36" s="154"/>
      <c r="C36" s="154"/>
      <c r="D36" s="154"/>
      <c r="E36" s="154"/>
      <c r="F36" s="155"/>
      <c r="G36" s="55"/>
      <c r="H36" s="55"/>
      <c r="I36" s="55"/>
      <c r="J36" s="55"/>
      <c r="K36" s="55"/>
      <c r="L36" s="55"/>
      <c r="M36" s="55"/>
      <c r="N36" s="55"/>
    </row>
    <row r="37" spans="1:18" ht="15.75" customHeight="1" x14ac:dyDescent="0.25">
      <c r="A37" s="153"/>
      <c r="B37" s="154"/>
      <c r="C37" s="154"/>
      <c r="D37" s="154"/>
      <c r="E37" s="154"/>
      <c r="F37" s="155"/>
      <c r="G37" s="55"/>
      <c r="H37" s="55"/>
      <c r="I37" s="55"/>
      <c r="J37" s="55"/>
      <c r="K37" s="55"/>
      <c r="L37" s="55"/>
      <c r="M37" s="55"/>
      <c r="N37" s="55"/>
    </row>
    <row r="38" spans="1:18" ht="15.75" customHeight="1" x14ac:dyDescent="0.25">
      <c r="A38" s="153"/>
      <c r="B38" s="154"/>
      <c r="C38" s="154"/>
      <c r="D38" s="154"/>
      <c r="E38" s="154"/>
      <c r="F38" s="155"/>
      <c r="G38" s="55"/>
      <c r="H38" s="55"/>
      <c r="I38" s="55"/>
      <c r="J38" s="55"/>
      <c r="K38" s="55"/>
      <c r="L38" s="55"/>
      <c r="M38" s="55"/>
      <c r="N38" s="55"/>
    </row>
    <row r="39" spans="1:18" ht="15.75" customHeight="1" x14ac:dyDescent="0.25">
      <c r="A39" s="353" t="s">
        <v>97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55"/>
      <c r="N39" s="54"/>
    </row>
    <row r="40" spans="1:18" ht="15.75" customHeight="1" x14ac:dyDescent="0.25">
      <c r="A40" s="353"/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55"/>
      <c r="N40" s="54"/>
    </row>
    <row r="41" spans="1:18" ht="24.75" customHeight="1" x14ac:dyDescent="0.25">
      <c r="A41" s="353"/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55"/>
      <c r="N41" s="54"/>
    </row>
    <row r="42" spans="1:18" ht="15.75" customHeight="1" x14ac:dyDescent="0.2">
      <c r="A42" s="45"/>
      <c r="C42" s="374"/>
      <c r="D42" s="374"/>
      <c r="E42" s="374"/>
      <c r="F42" s="374"/>
      <c r="G42" s="374"/>
      <c r="H42" s="374"/>
      <c r="I42" s="374"/>
      <c r="J42" s="52"/>
      <c r="K42" s="53"/>
      <c r="L42" s="52"/>
      <c r="M42" s="53"/>
      <c r="N42" s="52"/>
      <c r="O42" s="52"/>
      <c r="P42" s="52"/>
      <c r="Q42" s="52"/>
      <c r="R42" s="52"/>
    </row>
    <row r="43" spans="1:18" ht="15.75" hidden="1" customHeight="1" x14ac:dyDescent="0.25">
      <c r="B43" s="354"/>
      <c r="C43" s="354"/>
      <c r="D43" s="355"/>
      <c r="E43" s="356"/>
      <c r="F43" s="357"/>
      <c r="G43" s="358"/>
      <c r="H43" s="358"/>
      <c r="I43" s="116"/>
      <c r="J43" s="48"/>
      <c r="K43" s="48"/>
      <c r="M43" s="48"/>
    </row>
    <row r="44" spans="1:18" ht="15.75" hidden="1" customHeight="1" x14ac:dyDescent="0.25">
      <c r="B44" s="359"/>
      <c r="C44" s="359"/>
      <c r="D44" s="355"/>
      <c r="E44" s="356"/>
      <c r="F44" s="357"/>
      <c r="G44" s="360"/>
      <c r="H44" s="360"/>
      <c r="I44" s="44"/>
      <c r="J44" s="48"/>
      <c r="K44" s="45"/>
      <c r="M44" s="47"/>
    </row>
    <row r="45" spans="1:18" ht="15.75" hidden="1" customHeight="1" x14ac:dyDescent="0.25">
      <c r="B45" s="358"/>
      <c r="C45" s="358"/>
      <c r="D45" s="361"/>
      <c r="E45" s="362"/>
      <c r="F45" s="363"/>
      <c r="G45" s="364"/>
      <c r="H45" s="364"/>
      <c r="I45" s="44"/>
      <c r="J45" s="48"/>
      <c r="K45" s="47"/>
    </row>
    <row r="46" spans="1:18" ht="15.75" hidden="1" customHeight="1" x14ac:dyDescent="0.25">
      <c r="B46" s="358"/>
      <c r="C46" s="358"/>
      <c r="D46" s="361"/>
      <c r="E46" s="362"/>
      <c r="F46" s="363"/>
      <c r="G46" s="364"/>
      <c r="H46" s="364"/>
      <c r="I46" s="44"/>
      <c r="J46" s="46"/>
      <c r="K46" s="45"/>
    </row>
    <row r="47" spans="1:18" ht="15.75" hidden="1" customHeight="1" x14ac:dyDescent="0.25">
      <c r="B47" s="358"/>
      <c r="C47" s="358"/>
      <c r="D47" s="361"/>
      <c r="E47" s="362"/>
      <c r="F47" s="363"/>
      <c r="G47" s="364"/>
      <c r="H47" s="364"/>
      <c r="I47" s="44"/>
    </row>
    <row r="48" spans="1:18" ht="15.75" customHeight="1" x14ac:dyDescent="0.25">
      <c r="A48" s="45"/>
      <c r="B48" s="42"/>
      <c r="C48" s="43"/>
      <c r="D48" s="43"/>
      <c r="E48" s="42"/>
      <c r="F48" s="42"/>
      <c r="G48" s="41"/>
      <c r="H48" s="41"/>
      <c r="I48" s="40"/>
      <c r="L48" s="45"/>
    </row>
    <row r="49" spans="1:14" ht="15.75" customHeight="1" x14ac:dyDescent="0.25">
      <c r="A49" s="45"/>
      <c r="B49" s="42"/>
      <c r="C49" s="43"/>
      <c r="D49" s="43"/>
      <c r="E49" s="42"/>
      <c r="F49" s="42"/>
      <c r="G49" s="41"/>
      <c r="H49" s="41"/>
      <c r="I49" s="40"/>
      <c r="L49" s="45"/>
    </row>
    <row r="50" spans="1:14" ht="15.75" customHeight="1" x14ac:dyDescent="0.25">
      <c r="A50" s="45"/>
      <c r="B50" s="42"/>
      <c r="C50" s="43"/>
      <c r="D50" s="43"/>
      <c r="E50" s="42"/>
      <c r="F50" s="42"/>
      <c r="G50" s="41"/>
      <c r="H50" s="41"/>
      <c r="I50" s="40"/>
      <c r="L50" s="45"/>
    </row>
    <row r="51" spans="1:14" ht="15.75" customHeight="1" x14ac:dyDescent="0.25">
      <c r="A51" s="45"/>
      <c r="B51" s="42"/>
      <c r="C51" s="43"/>
      <c r="D51" s="43"/>
      <c r="E51" s="42"/>
      <c r="F51" s="42"/>
      <c r="G51" s="41"/>
      <c r="H51" s="41"/>
      <c r="I51" s="40"/>
      <c r="L51" s="45"/>
    </row>
    <row r="52" spans="1:14" ht="15.75" customHeight="1" x14ac:dyDescent="0.25">
      <c r="A52" s="45"/>
      <c r="B52" s="42"/>
      <c r="C52" s="43"/>
      <c r="D52" s="43"/>
      <c r="E52" s="42"/>
      <c r="F52" s="42"/>
      <c r="G52" s="41"/>
      <c r="H52" s="41"/>
      <c r="I52" s="40"/>
      <c r="L52" s="45"/>
    </row>
    <row r="53" spans="1:14" ht="15.75" customHeight="1" x14ac:dyDescent="0.25">
      <c r="A53" s="45"/>
      <c r="B53" s="42"/>
      <c r="C53" s="43"/>
      <c r="D53" s="43"/>
      <c r="E53" s="42"/>
      <c r="F53" s="42"/>
      <c r="G53" s="41"/>
      <c r="H53" s="41"/>
      <c r="I53" s="40"/>
      <c r="L53" s="45"/>
    </row>
    <row r="54" spans="1:14" s="38" customFormat="1" ht="13.5" x14ac:dyDescent="0.25">
      <c r="A54" s="383" t="s">
        <v>23</v>
      </c>
      <c r="B54" s="383"/>
      <c r="C54" s="383"/>
      <c r="D54" s="383"/>
      <c r="E54" s="384" t="s">
        <v>24</v>
      </c>
      <c r="F54" s="384"/>
      <c r="G54" s="384"/>
      <c r="H54" s="384"/>
      <c r="I54" s="384"/>
      <c r="J54" s="169"/>
      <c r="K54" s="170" t="s">
        <v>25</v>
      </c>
      <c r="L54" s="170"/>
      <c r="M54" s="170"/>
      <c r="N54" s="117"/>
    </row>
    <row r="55" spans="1:14" s="29" customFormat="1" ht="13.5" x14ac:dyDescent="0.25">
      <c r="A55" s="171"/>
      <c r="B55" s="171"/>
      <c r="C55" s="172"/>
      <c r="D55" s="173"/>
      <c r="E55" s="174"/>
      <c r="F55" s="175"/>
      <c r="G55" s="175"/>
      <c r="H55" s="175"/>
      <c r="I55" s="176"/>
      <c r="J55" s="177"/>
      <c r="K55" s="178"/>
      <c r="L55" s="178"/>
      <c r="M55" s="178"/>
      <c r="N55" s="32"/>
    </row>
    <row r="56" spans="1:14" s="29" customFormat="1" ht="13.5" x14ac:dyDescent="0.25">
      <c r="A56" s="171"/>
      <c r="B56" s="171"/>
      <c r="C56" s="172"/>
      <c r="D56" s="173"/>
      <c r="E56" s="174"/>
      <c r="F56" s="175"/>
      <c r="G56" s="175"/>
      <c r="H56" s="175"/>
      <c r="I56" s="176"/>
      <c r="J56" s="177"/>
      <c r="K56" s="178"/>
      <c r="L56" s="178"/>
      <c r="M56" s="178"/>
      <c r="N56" s="32"/>
    </row>
    <row r="57" spans="1:14" s="29" customFormat="1" ht="26.25" customHeight="1" x14ac:dyDescent="0.25">
      <c r="A57" s="380" t="s">
        <v>118</v>
      </c>
      <c r="B57" s="381"/>
      <c r="C57" s="381"/>
      <c r="D57" s="381"/>
      <c r="E57" s="382" t="s">
        <v>100</v>
      </c>
      <c r="F57" s="382"/>
      <c r="G57" s="382"/>
      <c r="H57" s="382"/>
      <c r="I57" s="382"/>
      <c r="J57" s="180" t="s">
        <v>99</v>
      </c>
      <c r="K57" s="181"/>
      <c r="L57" s="181"/>
      <c r="M57" s="181"/>
      <c r="N57" s="30"/>
    </row>
    <row r="58" spans="1:14" s="23" customFormat="1" ht="15.75" customHeight="1" x14ac:dyDescent="0.3">
      <c r="A58" s="184"/>
      <c r="B58" s="376" t="s">
        <v>66</v>
      </c>
      <c r="C58" s="376"/>
      <c r="D58" s="205"/>
      <c r="E58" s="182"/>
      <c r="F58" s="377" t="s">
        <v>65</v>
      </c>
      <c r="G58" s="377"/>
      <c r="H58" s="377"/>
      <c r="I58" s="183"/>
      <c r="J58" s="377" t="s">
        <v>95</v>
      </c>
      <c r="K58" s="377"/>
      <c r="L58" s="377"/>
      <c r="M58" s="187"/>
    </row>
    <row r="59" spans="1:14" s="23" customFormat="1" ht="15.75" customHeight="1" x14ac:dyDescent="0.3">
      <c r="A59" s="184"/>
      <c r="B59" s="378" t="s">
        <v>107</v>
      </c>
      <c r="C59" s="378"/>
      <c r="D59" s="182"/>
      <c r="E59" s="163"/>
      <c r="F59" s="379" t="s">
        <v>111</v>
      </c>
      <c r="G59" s="379"/>
      <c r="H59" s="379"/>
      <c r="I59" s="379"/>
      <c r="J59" s="378" t="s">
        <v>110</v>
      </c>
      <c r="K59" s="378"/>
      <c r="L59" s="182"/>
      <c r="M59" s="182"/>
    </row>
    <row r="60" spans="1:14" ht="15.75" customHeight="1" x14ac:dyDescent="0.2">
      <c r="A60" s="184"/>
      <c r="B60" s="182"/>
      <c r="C60" s="182"/>
      <c r="D60" s="206"/>
      <c r="E60" s="163"/>
      <c r="F60" s="163"/>
      <c r="G60" s="182"/>
      <c r="H60" s="182"/>
      <c r="I60" s="163"/>
      <c r="J60" s="182"/>
      <c r="K60" s="182"/>
      <c r="L60" s="182"/>
      <c r="M60" s="182"/>
    </row>
    <row r="61" spans="1:14" ht="15.75" customHeight="1" x14ac:dyDescent="0.2"/>
    <row r="62" spans="1:14" ht="15.75" customHeight="1" x14ac:dyDescent="0.2">
      <c r="A62" s="22" t="s">
        <v>64</v>
      </c>
    </row>
    <row r="63" spans="1:14" ht="15.75" customHeight="1" x14ac:dyDescent="0.2">
      <c r="A63" s="22"/>
    </row>
    <row r="64" spans="1:14" ht="15.75" customHeight="1" x14ac:dyDescent="0.2">
      <c r="A64" s="22"/>
    </row>
    <row r="65" spans="1:14" ht="15.75" customHeight="1" x14ac:dyDescent="0.25">
      <c r="A65" s="346" t="s">
        <v>0</v>
      </c>
      <c r="B65" s="346"/>
      <c r="C65" s="346"/>
      <c r="D65" s="346"/>
      <c r="E65" s="346"/>
      <c r="F65" s="346"/>
      <c r="G65" s="346"/>
      <c r="H65" s="346"/>
      <c r="I65" s="346"/>
      <c r="J65" s="346"/>
      <c r="K65" s="346"/>
      <c r="L65" s="346"/>
      <c r="M65" s="346"/>
      <c r="N65" s="346"/>
    </row>
    <row r="66" spans="1:14" ht="15.75" customHeight="1" x14ac:dyDescent="0.2">
      <c r="B66" s="21"/>
      <c r="C66" s="21"/>
      <c r="D66" s="21"/>
      <c r="E66" s="21"/>
      <c r="F66" s="21"/>
      <c r="G66" s="21"/>
      <c r="H66" s="21"/>
    </row>
    <row r="67" spans="1:14" s="19" customFormat="1" ht="15.75" customHeight="1" x14ac:dyDescent="0.25">
      <c r="A67" s="321" t="s">
        <v>63</v>
      </c>
      <c r="B67" s="321"/>
      <c r="C67" s="321"/>
      <c r="D67" s="113"/>
      <c r="E67" s="321" t="s">
        <v>62</v>
      </c>
      <c r="F67" s="321"/>
      <c r="G67" s="321"/>
      <c r="H67" s="321"/>
      <c r="I67" s="321"/>
      <c r="J67" s="321"/>
      <c r="K67" s="321"/>
      <c r="L67" s="321"/>
      <c r="M67" s="321"/>
      <c r="N67" s="321"/>
    </row>
    <row r="68" spans="1:14" ht="15.75" customHeight="1" x14ac:dyDescent="0.2">
      <c r="A68" s="17"/>
      <c r="B68" s="17"/>
      <c r="C68" s="18"/>
      <c r="D68" s="18"/>
      <c r="F68" s="17"/>
      <c r="G68" s="17"/>
      <c r="H68" s="17"/>
    </row>
    <row r="69" spans="1:14" ht="15.75" customHeight="1" x14ac:dyDescent="0.2">
      <c r="A69" s="16" t="s">
        <v>61</v>
      </c>
      <c r="B69" s="14"/>
      <c r="C69" s="14"/>
      <c r="D69" s="14"/>
      <c r="E69" s="347" t="s">
        <v>60</v>
      </c>
      <c r="F69" s="347"/>
      <c r="G69" s="347"/>
      <c r="H69" s="347"/>
      <c r="I69" s="347"/>
    </row>
    <row r="70" spans="1:14" ht="5.0999999999999996" customHeight="1" x14ac:dyDescent="0.2">
      <c r="A70" s="118"/>
      <c r="B70" s="118"/>
      <c r="C70" s="118"/>
      <c r="D70" s="118"/>
      <c r="E70" s="118"/>
      <c r="F70" s="10"/>
      <c r="G70" s="10"/>
    </row>
    <row r="71" spans="1:14" ht="15.75" customHeight="1" x14ac:dyDescent="0.25">
      <c r="A71" s="348" t="s">
        <v>59</v>
      </c>
      <c r="B71" s="348"/>
      <c r="C71" s="14"/>
      <c r="D71" s="14"/>
      <c r="E71" s="347" t="s">
        <v>58</v>
      </c>
      <c r="F71" s="347"/>
      <c r="G71" s="347"/>
      <c r="H71" s="347"/>
      <c r="I71" s="347"/>
      <c r="J71" s="13"/>
      <c r="K71" s="13"/>
      <c r="L71" s="13"/>
      <c r="M71" s="13"/>
      <c r="N71" s="13"/>
    </row>
    <row r="72" spans="1:14" ht="5.0999999999999996" customHeight="1" x14ac:dyDescent="0.2">
      <c r="A72" s="5"/>
      <c r="B72" s="5"/>
    </row>
    <row r="73" spans="1:14" ht="15.75" customHeight="1" x14ac:dyDescent="0.25">
      <c r="A73" s="3" t="s">
        <v>57</v>
      </c>
      <c r="B73" s="3"/>
      <c r="E73" s="2" t="s">
        <v>56</v>
      </c>
    </row>
    <row r="74" spans="1:14" ht="5.0999999999999996" customHeight="1" x14ac:dyDescent="0.2">
      <c r="A74" s="5"/>
      <c r="B74" s="5"/>
    </row>
    <row r="75" spans="1:14" ht="47.25" customHeight="1" x14ac:dyDescent="0.25">
      <c r="A75" s="11" t="s">
        <v>55</v>
      </c>
      <c r="B75" s="3"/>
      <c r="E75" s="349" t="s">
        <v>54</v>
      </c>
      <c r="F75" s="349"/>
      <c r="G75" s="349"/>
      <c r="H75" s="349"/>
      <c r="I75" s="349"/>
      <c r="J75" s="349"/>
      <c r="K75" s="349"/>
      <c r="L75" s="349"/>
      <c r="M75" s="349"/>
      <c r="N75" s="349"/>
    </row>
    <row r="76" spans="1:14" ht="5.0999999999999996" customHeight="1" x14ac:dyDescent="0.2">
      <c r="A76" s="5"/>
      <c r="B76" s="5"/>
      <c r="E76" s="12"/>
    </row>
    <row r="77" spans="1:14" ht="47.25" customHeight="1" x14ac:dyDescent="0.25">
      <c r="A77" s="11" t="s">
        <v>53</v>
      </c>
      <c r="B77" s="3"/>
      <c r="E77" s="350" t="s">
        <v>52</v>
      </c>
      <c r="F77" s="350"/>
      <c r="G77" s="350"/>
      <c r="H77" s="350"/>
      <c r="I77" s="350"/>
      <c r="J77" s="350"/>
      <c r="K77" s="350"/>
      <c r="L77" s="350"/>
      <c r="M77" s="350"/>
      <c r="N77" s="350"/>
    </row>
    <row r="78" spans="1:14" ht="5.0999999999999996" customHeight="1" x14ac:dyDescent="0.25">
      <c r="A78" s="5"/>
      <c r="B78" s="5"/>
      <c r="E78" s="2"/>
    </row>
    <row r="79" spans="1:14" ht="49.5" customHeight="1" x14ac:dyDescent="0.25">
      <c r="A79" s="11" t="s">
        <v>6</v>
      </c>
      <c r="B79" s="3"/>
      <c r="E79" s="351" t="s">
        <v>51</v>
      </c>
      <c r="F79" s="351"/>
      <c r="G79" s="351"/>
      <c r="H79" s="351"/>
      <c r="I79" s="351"/>
      <c r="J79" s="351"/>
      <c r="K79" s="351"/>
      <c r="L79" s="351"/>
      <c r="M79" s="351"/>
      <c r="N79" s="351"/>
    </row>
    <row r="80" spans="1:14" ht="5.0999999999999996" customHeight="1" x14ac:dyDescent="0.25">
      <c r="A80" s="5"/>
      <c r="B80" s="5"/>
      <c r="E80" s="2"/>
    </row>
    <row r="81" spans="1:14" ht="49.5" customHeight="1" x14ac:dyDescent="0.25">
      <c r="A81" s="11" t="s">
        <v>50</v>
      </c>
      <c r="B81" s="3"/>
      <c r="E81" s="351" t="s">
        <v>49</v>
      </c>
      <c r="F81" s="351"/>
      <c r="G81" s="351"/>
      <c r="H81" s="351"/>
      <c r="I81" s="351"/>
      <c r="J81" s="351"/>
      <c r="K81" s="351"/>
      <c r="L81" s="351"/>
      <c r="M81" s="351"/>
      <c r="N81" s="351"/>
    </row>
    <row r="82" spans="1:14" ht="5.0999999999999996" customHeight="1" x14ac:dyDescent="0.2">
      <c r="A82" s="10"/>
      <c r="B82" s="10"/>
    </row>
    <row r="83" spans="1:14" ht="30.75" customHeight="1" x14ac:dyDescent="0.25">
      <c r="A83" s="9" t="s">
        <v>8</v>
      </c>
      <c r="B83" s="3"/>
      <c r="E83" s="349" t="s">
        <v>48</v>
      </c>
      <c r="F83" s="352"/>
      <c r="G83" s="352"/>
      <c r="H83" s="352"/>
      <c r="I83" s="352"/>
      <c r="J83" s="352"/>
      <c r="K83" s="352"/>
      <c r="L83" s="352"/>
      <c r="M83" s="352"/>
      <c r="N83" s="352"/>
    </row>
    <row r="84" spans="1:14" ht="5.0999999999999996" customHeight="1" x14ac:dyDescent="0.2">
      <c r="A84" s="5"/>
      <c r="B84" s="5"/>
    </row>
    <row r="85" spans="1:14" ht="15.75" customHeight="1" x14ac:dyDescent="0.25">
      <c r="A85" s="3" t="s">
        <v>47</v>
      </c>
      <c r="B85" s="3"/>
      <c r="E85" s="2" t="s">
        <v>46</v>
      </c>
    </row>
    <row r="86" spans="1:14" ht="5.0999999999999996" customHeight="1" x14ac:dyDescent="0.2">
      <c r="A86" s="5"/>
      <c r="B86" s="5"/>
    </row>
    <row r="87" spans="1:14" ht="15.75" customHeight="1" x14ac:dyDescent="0.25">
      <c r="A87" s="8" t="s">
        <v>45</v>
      </c>
      <c r="B87" s="3"/>
      <c r="E87" s="7" t="s">
        <v>44</v>
      </c>
    </row>
    <row r="88" spans="1:14" ht="5.0999999999999996" customHeight="1" x14ac:dyDescent="0.2">
      <c r="A88" s="5"/>
      <c r="B88" s="5"/>
    </row>
    <row r="89" spans="1:14" ht="15.75" customHeight="1" x14ac:dyDescent="0.25">
      <c r="A89" s="3" t="s">
        <v>43</v>
      </c>
      <c r="B89" s="3"/>
      <c r="E89" s="2" t="s">
        <v>42</v>
      </c>
    </row>
    <row r="90" spans="1:14" ht="5.0999999999999996" customHeight="1" x14ac:dyDescent="0.2">
      <c r="A90" s="5"/>
      <c r="B90" s="5"/>
    </row>
    <row r="91" spans="1:14" ht="15.75" customHeight="1" x14ac:dyDescent="0.25">
      <c r="A91" s="3" t="s">
        <v>41</v>
      </c>
      <c r="B91" s="3"/>
      <c r="E91" s="2" t="s">
        <v>40</v>
      </c>
    </row>
    <row r="92" spans="1:14" ht="5.0999999999999996" customHeight="1" x14ac:dyDescent="0.25">
      <c r="A92" s="3"/>
      <c r="B92" s="3"/>
      <c r="E92" s="2"/>
    </row>
    <row r="93" spans="1:14" ht="15.75" customHeight="1" x14ac:dyDescent="0.25">
      <c r="A93" s="8" t="s">
        <v>39</v>
      </c>
      <c r="B93" s="3"/>
      <c r="E93" s="7" t="s">
        <v>38</v>
      </c>
    </row>
    <row r="94" spans="1:14" ht="5.0999999999999996" customHeight="1" x14ac:dyDescent="0.2">
      <c r="A94" s="5"/>
      <c r="B94" s="5"/>
    </row>
    <row r="95" spans="1:14" ht="37.5" customHeight="1" x14ac:dyDescent="0.25">
      <c r="A95" s="6" t="s">
        <v>37</v>
      </c>
      <c r="B95" s="3"/>
      <c r="E95" s="344" t="s">
        <v>36</v>
      </c>
      <c r="F95" s="345"/>
      <c r="G95" s="345"/>
      <c r="H95" s="345"/>
      <c r="I95" s="345"/>
      <c r="J95" s="345"/>
      <c r="K95" s="345"/>
      <c r="L95" s="345"/>
      <c r="M95" s="345"/>
      <c r="N95" s="345"/>
    </row>
    <row r="96" spans="1:14" ht="5.0999999999999996" customHeight="1" x14ac:dyDescent="0.2">
      <c r="A96" s="5"/>
      <c r="B96" s="5"/>
    </row>
    <row r="97" spans="1:5" ht="15.75" customHeight="1" x14ac:dyDescent="0.25">
      <c r="A97" s="3" t="s">
        <v>35</v>
      </c>
      <c r="B97" s="3"/>
      <c r="E97" s="2" t="s">
        <v>34</v>
      </c>
    </row>
    <row r="98" spans="1:5" ht="5.0999999999999996" customHeight="1" x14ac:dyDescent="0.2">
      <c r="A98" s="5"/>
      <c r="B98" s="5"/>
    </row>
    <row r="99" spans="1:5" ht="15.75" customHeight="1" x14ac:dyDescent="0.25">
      <c r="A99" s="3" t="s">
        <v>33</v>
      </c>
      <c r="B99" s="3"/>
      <c r="E99" s="2" t="s">
        <v>32</v>
      </c>
    </row>
    <row r="100" spans="1:5" ht="5.0999999999999996" customHeight="1" x14ac:dyDescent="0.2">
      <c r="A100" s="5"/>
      <c r="B100" s="5"/>
    </row>
    <row r="101" spans="1:5" ht="15.75" customHeight="1" x14ac:dyDescent="0.25">
      <c r="A101" s="3" t="s">
        <v>31</v>
      </c>
      <c r="B101" s="3"/>
      <c r="E101" s="2" t="s">
        <v>30</v>
      </c>
    </row>
    <row r="102" spans="1:5" ht="5.0999999999999996" customHeight="1" x14ac:dyDescent="0.2">
      <c r="A102" s="5"/>
      <c r="B102" s="5"/>
    </row>
    <row r="103" spans="1:5" ht="15.75" customHeight="1" x14ac:dyDescent="0.25">
      <c r="A103" s="3" t="s">
        <v>29</v>
      </c>
      <c r="B103" s="3"/>
      <c r="E103" s="2" t="s">
        <v>28</v>
      </c>
    </row>
    <row r="104" spans="1:5" ht="5.0999999999999996" customHeight="1" x14ac:dyDescent="0.2">
      <c r="A104" s="5"/>
      <c r="B104" s="5"/>
    </row>
    <row r="105" spans="1:5" ht="15.75" customHeight="1" x14ac:dyDescent="0.25">
      <c r="A105" s="4" t="s">
        <v>14</v>
      </c>
      <c r="B105" s="3"/>
      <c r="E105" s="2" t="s">
        <v>27</v>
      </c>
    </row>
  </sheetData>
  <mergeCells count="55">
    <mergeCell ref="C12:C13"/>
    <mergeCell ref="D12:D13"/>
    <mergeCell ref="E12:E13"/>
    <mergeCell ref="A4:N4"/>
    <mergeCell ref="A6:N6"/>
    <mergeCell ref="D7:I7"/>
    <mergeCell ref="C11:G11"/>
    <mergeCell ref="H11:K11"/>
    <mergeCell ref="B44:C44"/>
    <mergeCell ref="D44:F44"/>
    <mergeCell ref="G44:H44"/>
    <mergeCell ref="F12:F13"/>
    <mergeCell ref="G12:G13"/>
    <mergeCell ref="H12:H13"/>
    <mergeCell ref="A39:L41"/>
    <mergeCell ref="C42:I42"/>
    <mergeCell ref="B43:C43"/>
    <mergeCell ref="D43:F43"/>
    <mergeCell ref="G43:H43"/>
    <mergeCell ref="I12:I13"/>
    <mergeCell ref="J12:J13"/>
    <mergeCell ref="K12:K13"/>
    <mergeCell ref="A12:A13"/>
    <mergeCell ref="B12:B13"/>
    <mergeCell ref="A57:D57"/>
    <mergeCell ref="E57:I57"/>
    <mergeCell ref="B45:C45"/>
    <mergeCell ref="D45:F45"/>
    <mergeCell ref="G45:H45"/>
    <mergeCell ref="B46:C46"/>
    <mergeCell ref="D46:F46"/>
    <mergeCell ref="G46:H46"/>
    <mergeCell ref="B47:C47"/>
    <mergeCell ref="D47:F47"/>
    <mergeCell ref="G47:H47"/>
    <mergeCell ref="A54:D54"/>
    <mergeCell ref="E54:I54"/>
    <mergeCell ref="B58:C58"/>
    <mergeCell ref="F58:H58"/>
    <mergeCell ref="J58:L58"/>
    <mergeCell ref="B59:C59"/>
    <mergeCell ref="F59:I59"/>
    <mergeCell ref="J59:K59"/>
    <mergeCell ref="E95:N95"/>
    <mergeCell ref="A65:N65"/>
    <mergeCell ref="A67:C67"/>
    <mergeCell ref="E67:N67"/>
    <mergeCell ref="E69:I69"/>
    <mergeCell ref="A71:B71"/>
    <mergeCell ref="E71:I71"/>
    <mergeCell ref="E75:N75"/>
    <mergeCell ref="E77:N77"/>
    <mergeCell ref="E79:N79"/>
    <mergeCell ref="E81:N81"/>
    <mergeCell ref="E83:N83"/>
  </mergeCells>
  <pageMargins left="0.62992125984251968" right="0.62992125984251968" top="0.39370078740157483" bottom="0.23622047244094491" header="0" footer="0"/>
  <pageSetup scale="68" orientation="landscape" r:id="rId1"/>
  <headerFooter alignWithMargins="0">
    <oddFooter>&amp;R</oddFooter>
  </headerFooter>
  <rowBreaks count="1" manualBreakCount="1">
    <brk id="6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4:S100"/>
  <sheetViews>
    <sheetView showGridLines="0" topLeftCell="A11" zoomScale="130" zoomScaleNormal="130" zoomScaleSheetLayoutView="100" workbookViewId="0">
      <selection activeCell="C19" sqref="C19"/>
    </sheetView>
  </sheetViews>
  <sheetFormatPr baseColWidth="10" defaultRowHeight="12.75" x14ac:dyDescent="0.2"/>
  <cols>
    <col min="1" max="1" width="26.710937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146"/>
      <c r="B7" s="146"/>
      <c r="C7" s="146"/>
      <c r="D7" s="321" t="s">
        <v>116</v>
      </c>
      <c r="E7" s="321"/>
      <c r="F7" s="321"/>
      <c r="G7" s="321"/>
      <c r="H7" s="321"/>
      <c r="I7" s="321"/>
      <c r="J7" s="146"/>
      <c r="K7" s="146"/>
      <c r="L7" s="146"/>
      <c r="M7" s="146"/>
      <c r="N7" s="146"/>
    </row>
    <row r="8" spans="1:14" ht="15.75" customHeight="1" x14ac:dyDescent="0.25">
      <c r="A8" s="85"/>
      <c r="B8" s="84"/>
      <c r="C8" s="84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</row>
    <row r="9" spans="1:14" ht="15.75" hidden="1" customHeight="1" x14ac:dyDescent="0.25">
      <c r="A9" s="85" t="s">
        <v>1</v>
      </c>
      <c r="B9" s="84"/>
      <c r="C9" s="84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</row>
    <row r="10" spans="1:14" ht="15.75" customHeight="1" x14ac:dyDescent="0.2">
      <c r="B10" s="5"/>
      <c r="C10" s="83"/>
      <c r="D10" s="5"/>
      <c r="E10" s="2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149"/>
      <c r="M12" s="149"/>
      <c r="N12" s="148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149"/>
      <c r="M13" s="149"/>
      <c r="N13" s="79" t="s">
        <v>15</v>
      </c>
    </row>
    <row r="14" spans="1:14" ht="15.75" customHeight="1" x14ac:dyDescent="0.25">
      <c r="A14" s="77" t="s">
        <v>81</v>
      </c>
      <c r="B14" s="78"/>
      <c r="C14" s="73">
        <v>3508474.65</v>
      </c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73">
        <v>0</v>
      </c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73">
        <v>2470256.88</v>
      </c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73">
        <v>1381930.03</v>
      </c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73">
        <v>0</v>
      </c>
      <c r="D18" s="58"/>
      <c r="F18" s="60"/>
      <c r="G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>
        <v>13131151.18</v>
      </c>
      <c r="C19" s="73">
        <f>SUM(C14:C18)</f>
        <v>7360661.5599999996</v>
      </c>
      <c r="D19" s="58"/>
      <c r="E19" s="58">
        <v>5372577.4500000002</v>
      </c>
      <c r="F19" s="73"/>
      <c r="G19" s="56">
        <f>+C19+D19-E19</f>
        <v>1988084.1099999994</v>
      </c>
      <c r="H19" s="56">
        <f>1384101.76+615477.17</f>
        <v>1999578.9300000002</v>
      </c>
      <c r="I19" s="56">
        <v>0</v>
      </c>
      <c r="J19" s="56">
        <f>9937+0.4</f>
        <v>9937.4</v>
      </c>
      <c r="K19" s="56">
        <f>+H19+I19-J19</f>
        <v>1989641.5300000003</v>
      </c>
      <c r="L19" s="73">
        <f>+G19-K19</f>
        <v>-1557.4200000008568</v>
      </c>
      <c r="M19" s="56">
        <f>G19-K19</f>
        <v>-1557.4200000008568</v>
      </c>
      <c r="N19" s="72"/>
      <c r="O19" s="68"/>
    </row>
    <row r="20" spans="1:19" ht="15.75" customHeight="1" x14ac:dyDescent="0.25">
      <c r="A20" s="62" t="s">
        <v>75</v>
      </c>
      <c r="B20" s="61">
        <v>16873510</v>
      </c>
      <c r="C20" s="61">
        <v>6006747.3499999996</v>
      </c>
      <c r="D20" s="58"/>
      <c r="E20" s="58">
        <v>4018995.77</v>
      </c>
      <c r="F20" s="60">
        <f t="shared" ref="F20:F30" si="0">E20/C20</f>
        <v>0.66908020860907369</v>
      </c>
      <c r="G20" s="56">
        <f t="shared" ref="G20:G33" si="1">+C20+D20-E20</f>
        <v>1987751.5799999996</v>
      </c>
      <c r="H20" s="56">
        <v>1751456.4</v>
      </c>
      <c r="I20" s="56">
        <v>0</v>
      </c>
      <c r="J20" s="56">
        <f>95838-1.15</f>
        <v>95836.85</v>
      </c>
      <c r="K20" s="56">
        <f t="shared" ref="K20:K34" si="2">+H20+I20-J20</f>
        <v>1655619.5499999998</v>
      </c>
      <c r="L20" s="73">
        <f t="shared" ref="L20:L34" si="3">+G20-K20</f>
        <v>332132.0299999998</v>
      </c>
      <c r="M20" s="56">
        <f t="shared" ref="M20:M34" si="4">G20-K20</f>
        <v>332132.0299999998</v>
      </c>
      <c r="N20" s="60">
        <f t="shared" ref="N20:N29" si="5">E20/B20</f>
        <v>0.23818374303864459</v>
      </c>
      <c r="O20" s="70"/>
      <c r="P20" s="71"/>
      <c r="Q20" s="48"/>
    </row>
    <row r="21" spans="1:19" ht="15.75" customHeight="1" x14ac:dyDescent="0.25">
      <c r="A21" s="62" t="s">
        <v>74</v>
      </c>
      <c r="B21" s="61">
        <v>7436006</v>
      </c>
      <c r="C21" s="61">
        <v>2613570.77</v>
      </c>
      <c r="D21" s="58"/>
      <c r="E21" s="58">
        <v>2808607.86</v>
      </c>
      <c r="F21" s="60">
        <f t="shared" si="0"/>
        <v>1.0746247594435714</v>
      </c>
      <c r="G21" s="56">
        <f t="shared" si="1"/>
        <v>-195037.08999999985</v>
      </c>
      <c r="H21" s="56">
        <v>40635.910000000003</v>
      </c>
      <c r="I21" s="56">
        <v>0</v>
      </c>
      <c r="J21" s="56">
        <v>79287</v>
      </c>
      <c r="K21" s="56">
        <f t="shared" si="2"/>
        <v>-38651.089999999997</v>
      </c>
      <c r="L21" s="73">
        <f t="shared" si="3"/>
        <v>-156385.99999999985</v>
      </c>
      <c r="M21" s="56">
        <f t="shared" si="4"/>
        <v>-156385.99999999985</v>
      </c>
      <c r="N21" s="60">
        <f t="shared" si="5"/>
        <v>0.37770381842080275</v>
      </c>
      <c r="O21" s="70"/>
      <c r="P21" s="69"/>
      <c r="Q21" s="45"/>
    </row>
    <row r="22" spans="1:19" ht="15.75" customHeight="1" x14ac:dyDescent="0.25">
      <c r="A22" s="62" t="s">
        <v>73</v>
      </c>
      <c r="B22" s="61">
        <v>281545</v>
      </c>
      <c r="C22" s="63">
        <v>134409.20000000001</v>
      </c>
      <c r="D22" s="104"/>
      <c r="E22" s="58">
        <v>0</v>
      </c>
      <c r="F22" s="60">
        <f>E22/C22</f>
        <v>0</v>
      </c>
      <c r="G22" s="56">
        <f>+C22+D22-E22</f>
        <v>134409.20000000001</v>
      </c>
      <c r="H22" s="56">
        <v>134409.20000000001</v>
      </c>
      <c r="I22" s="56">
        <v>0</v>
      </c>
      <c r="J22" s="56">
        <v>0</v>
      </c>
      <c r="K22" s="56">
        <f t="shared" si="2"/>
        <v>134409.20000000001</v>
      </c>
      <c r="L22" s="73">
        <f t="shared" si="3"/>
        <v>0</v>
      </c>
      <c r="M22" s="56">
        <f t="shared" si="4"/>
        <v>0</v>
      </c>
      <c r="N22" s="60">
        <f t="shared" si="5"/>
        <v>0</v>
      </c>
      <c r="O22" s="68"/>
    </row>
    <row r="23" spans="1:19" ht="15.75" customHeight="1" x14ac:dyDescent="0.25">
      <c r="A23" s="62" t="s">
        <v>86</v>
      </c>
      <c r="B23" s="61">
        <v>824025</v>
      </c>
      <c r="C23" s="61">
        <v>434388.14</v>
      </c>
      <c r="D23" s="58"/>
      <c r="E23" s="58">
        <v>199004</v>
      </c>
      <c r="F23" s="60">
        <f t="shared" ref="F23:F25" si="6">E23/C23</f>
        <v>0.45812484659456859</v>
      </c>
      <c r="G23" s="56">
        <f>+C23+D23-E23</f>
        <v>235384.14</v>
      </c>
      <c r="H23" s="56">
        <v>235384.14</v>
      </c>
      <c r="I23" s="56">
        <v>0</v>
      </c>
      <c r="J23" s="56">
        <v>0</v>
      </c>
      <c r="K23" s="56">
        <f t="shared" si="2"/>
        <v>235384.14</v>
      </c>
      <c r="L23" s="73">
        <f t="shared" si="3"/>
        <v>0</v>
      </c>
      <c r="M23" s="56">
        <f t="shared" si="4"/>
        <v>0</v>
      </c>
      <c r="N23" s="60">
        <f t="shared" si="5"/>
        <v>0.24150238160249993</v>
      </c>
    </row>
    <row r="24" spans="1:19" ht="15.75" customHeight="1" x14ac:dyDescent="0.25">
      <c r="A24" s="62" t="s">
        <v>72</v>
      </c>
      <c r="B24" s="61">
        <v>600184</v>
      </c>
      <c r="C24" s="61">
        <v>173627.38</v>
      </c>
      <c r="D24" s="58"/>
      <c r="E24" s="58">
        <v>74656.53</v>
      </c>
      <c r="F24" s="60">
        <f t="shared" si="6"/>
        <v>0.42998131976650222</v>
      </c>
      <c r="G24" s="56">
        <f t="shared" si="1"/>
        <v>98970.85</v>
      </c>
      <c r="H24" s="56">
        <v>98970.85</v>
      </c>
      <c r="I24" s="56">
        <v>0</v>
      </c>
      <c r="J24" s="56">
        <v>0</v>
      </c>
      <c r="K24" s="56">
        <f t="shared" si="2"/>
        <v>98970.85</v>
      </c>
      <c r="L24" s="73">
        <f t="shared" si="3"/>
        <v>0</v>
      </c>
      <c r="M24" s="56">
        <f t="shared" si="4"/>
        <v>0</v>
      </c>
      <c r="N24" s="60">
        <f t="shared" si="5"/>
        <v>0.12438940391613239</v>
      </c>
    </row>
    <row r="25" spans="1:19" ht="15.75" customHeight="1" x14ac:dyDescent="0.25">
      <c r="A25" s="62" t="s">
        <v>93</v>
      </c>
      <c r="B25" s="61">
        <v>11851740</v>
      </c>
      <c r="C25" s="63">
        <v>4938386.4000000004</v>
      </c>
      <c r="D25" s="104"/>
      <c r="E25" s="104">
        <v>4533656.12</v>
      </c>
      <c r="F25" s="60">
        <f t="shared" si="6"/>
        <v>0.9180440234486309</v>
      </c>
      <c r="G25" s="56">
        <f t="shared" si="1"/>
        <v>404730.28000000026</v>
      </c>
      <c r="H25" s="67">
        <v>661552.31999999995</v>
      </c>
      <c r="I25" s="67">
        <v>0</v>
      </c>
      <c r="J25" s="67">
        <f>78867+0.22+1517-0.79+2250</f>
        <v>82633.430000000008</v>
      </c>
      <c r="K25" s="56">
        <f t="shared" si="2"/>
        <v>578918.8899999999</v>
      </c>
      <c r="L25" s="73">
        <f t="shared" si="3"/>
        <v>-174188.60999999964</v>
      </c>
      <c r="M25" s="56">
        <f t="shared" si="4"/>
        <v>-174188.60999999964</v>
      </c>
      <c r="N25" s="66">
        <f t="shared" si="5"/>
        <v>0.38253084525985215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91</v>
      </c>
      <c r="B26" s="61">
        <v>3479677</v>
      </c>
      <c r="C26" s="58">
        <v>1740104.81</v>
      </c>
      <c r="D26" s="104"/>
      <c r="E26" s="58">
        <v>0</v>
      </c>
      <c r="F26" s="66">
        <f t="shared" si="0"/>
        <v>0</v>
      </c>
      <c r="G26" s="67">
        <f>+C26+D26-E26</f>
        <v>1740104.81</v>
      </c>
      <c r="H26" s="56">
        <v>1740104.81</v>
      </c>
      <c r="I26" s="56">
        <v>0</v>
      </c>
      <c r="J26" s="56">
        <v>0</v>
      </c>
      <c r="K26" s="56">
        <f t="shared" si="2"/>
        <v>1740104.81</v>
      </c>
      <c r="L26" s="73">
        <f t="shared" si="3"/>
        <v>0</v>
      </c>
      <c r="M26" s="56">
        <f t="shared" si="4"/>
        <v>0</v>
      </c>
      <c r="N26" s="60">
        <f t="shared" si="5"/>
        <v>0</v>
      </c>
      <c r="O26" s="64"/>
    </row>
    <row r="27" spans="1:19" ht="15.75" customHeight="1" x14ac:dyDescent="0.25">
      <c r="A27" s="62" t="s">
        <v>90</v>
      </c>
      <c r="B27" s="61"/>
      <c r="C27" s="58">
        <v>0</v>
      </c>
      <c r="D27" s="104"/>
      <c r="E27" s="58">
        <v>0</v>
      </c>
      <c r="F27" s="66">
        <v>0</v>
      </c>
      <c r="G27" s="67">
        <f>+C27+D27-E27</f>
        <v>0</v>
      </c>
      <c r="H27" s="56">
        <v>0</v>
      </c>
      <c r="I27" s="56">
        <v>0</v>
      </c>
      <c r="J27" s="56">
        <v>0</v>
      </c>
      <c r="K27" s="56">
        <f>+H27+I27-J27</f>
        <v>0</v>
      </c>
      <c r="L27" s="73">
        <f t="shared" si="3"/>
        <v>0</v>
      </c>
      <c r="M27" s="56">
        <f t="shared" si="4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63">
        <v>99465</v>
      </c>
      <c r="C28" s="61">
        <v>75231.009999999995</v>
      </c>
      <c r="D28" s="58"/>
      <c r="E28" s="58">
        <v>52807.06</v>
      </c>
      <c r="F28" s="60">
        <f t="shared" si="0"/>
        <v>0.70193208890854986</v>
      </c>
      <c r="G28" s="67">
        <f>+C28+D28-E28</f>
        <v>22423.949999999997</v>
      </c>
      <c r="H28" s="56">
        <v>22423.95</v>
      </c>
      <c r="I28" s="56">
        <v>0</v>
      </c>
      <c r="J28" s="56">
        <v>0</v>
      </c>
      <c r="K28" s="56">
        <f t="shared" si="2"/>
        <v>22423.95</v>
      </c>
      <c r="L28" s="73">
        <f t="shared" si="3"/>
        <v>0</v>
      </c>
      <c r="M28" s="56">
        <f t="shared" si="4"/>
        <v>0</v>
      </c>
      <c r="N28" s="60">
        <f t="shared" si="5"/>
        <v>0.53091097370934492</v>
      </c>
    </row>
    <row r="29" spans="1:19" ht="15.75" customHeight="1" x14ac:dyDescent="0.25">
      <c r="A29" s="62" t="s">
        <v>69</v>
      </c>
      <c r="B29" s="61">
        <v>29793</v>
      </c>
      <c r="C29" s="61">
        <v>12415.73</v>
      </c>
      <c r="D29" s="58"/>
      <c r="E29" s="58">
        <v>0</v>
      </c>
      <c r="F29" s="60">
        <f t="shared" si="0"/>
        <v>0</v>
      </c>
      <c r="G29" s="56">
        <f t="shared" si="1"/>
        <v>12415.73</v>
      </c>
      <c r="H29" s="56">
        <v>12415.73</v>
      </c>
      <c r="I29" s="56">
        <v>0</v>
      </c>
      <c r="J29" s="56">
        <v>0</v>
      </c>
      <c r="K29" s="56">
        <f t="shared" si="2"/>
        <v>12415.73</v>
      </c>
      <c r="L29" s="73">
        <f t="shared" si="3"/>
        <v>0</v>
      </c>
      <c r="M29" s="56">
        <f t="shared" si="4"/>
        <v>0</v>
      </c>
      <c r="N29" s="60">
        <f t="shared" si="5"/>
        <v>0</v>
      </c>
    </row>
    <row r="30" spans="1:19" ht="15.75" customHeight="1" x14ac:dyDescent="0.25">
      <c r="A30" s="62" t="s">
        <v>26</v>
      </c>
      <c r="B30" s="61">
        <v>68757.710000000006</v>
      </c>
      <c r="C30" s="112">
        <v>68767.58</v>
      </c>
      <c r="D30" s="58"/>
      <c r="E30" s="58">
        <v>0</v>
      </c>
      <c r="F30" s="60">
        <f t="shared" si="0"/>
        <v>0</v>
      </c>
      <c r="G30" s="56">
        <f t="shared" si="1"/>
        <v>68767.58</v>
      </c>
      <c r="H30" s="56">
        <v>68767.58</v>
      </c>
      <c r="I30" s="56">
        <v>0</v>
      </c>
      <c r="J30" s="56">
        <v>0</v>
      </c>
      <c r="K30" s="56">
        <f t="shared" si="2"/>
        <v>68767.58</v>
      </c>
      <c r="L30" s="73">
        <f t="shared" si="3"/>
        <v>0</v>
      </c>
      <c r="M30" s="56">
        <f t="shared" si="4"/>
        <v>0</v>
      </c>
      <c r="N30" s="60">
        <v>0</v>
      </c>
    </row>
    <row r="31" spans="1:19" ht="15.75" customHeight="1" x14ac:dyDescent="0.25">
      <c r="A31" s="62" t="s">
        <v>85</v>
      </c>
      <c r="B31" s="61"/>
      <c r="C31" s="61">
        <v>0</v>
      </c>
      <c r="D31" s="58"/>
      <c r="E31" s="58">
        <v>0</v>
      </c>
      <c r="F31" s="60">
        <v>0</v>
      </c>
      <c r="G31" s="56">
        <f t="shared" si="1"/>
        <v>0</v>
      </c>
      <c r="H31" s="56">
        <v>0</v>
      </c>
      <c r="I31" s="56">
        <v>0</v>
      </c>
      <c r="J31" s="56">
        <v>0</v>
      </c>
      <c r="K31" s="56">
        <f t="shared" si="2"/>
        <v>0</v>
      </c>
      <c r="L31" s="73">
        <f t="shared" si="3"/>
        <v>0</v>
      </c>
      <c r="M31" s="56">
        <f t="shared" si="4"/>
        <v>0</v>
      </c>
      <c r="N31" s="60">
        <v>0</v>
      </c>
    </row>
    <row r="32" spans="1:19" ht="15.75" customHeight="1" x14ac:dyDescent="0.25">
      <c r="A32" s="62" t="s">
        <v>84</v>
      </c>
      <c r="B32" s="61">
        <v>2885500</v>
      </c>
      <c r="C32" s="61">
        <f>251969+42.85+1521991</f>
        <v>1774002.85</v>
      </c>
      <c r="D32" s="58"/>
      <c r="E32" s="58">
        <v>1437480.35</v>
      </c>
      <c r="F32" s="60"/>
      <c r="G32" s="56">
        <f t="shared" si="1"/>
        <v>336522.5</v>
      </c>
      <c r="H32" s="56">
        <f>0.01+336522.49</f>
        <v>336522.5</v>
      </c>
      <c r="I32" s="56">
        <v>0</v>
      </c>
      <c r="J32" s="56">
        <v>0</v>
      </c>
      <c r="K32" s="56">
        <f t="shared" si="2"/>
        <v>336522.5</v>
      </c>
      <c r="L32" s="73">
        <f t="shared" si="3"/>
        <v>0</v>
      </c>
      <c r="M32" s="56">
        <f t="shared" si="4"/>
        <v>0</v>
      </c>
      <c r="N32" s="60">
        <v>0</v>
      </c>
    </row>
    <row r="33" spans="1:18" ht="15.75" customHeight="1" x14ac:dyDescent="0.25">
      <c r="A33" s="62" t="s">
        <v>114</v>
      </c>
      <c r="B33" s="61">
        <v>200000</v>
      </c>
      <c r="C33" s="61">
        <v>200000</v>
      </c>
      <c r="D33" s="58"/>
      <c r="E33" s="58">
        <v>0</v>
      </c>
      <c r="F33" s="60"/>
      <c r="G33" s="56">
        <f t="shared" si="1"/>
        <v>200000</v>
      </c>
      <c r="H33" s="56">
        <v>200000</v>
      </c>
      <c r="I33" s="56">
        <v>0</v>
      </c>
      <c r="J33" s="56">
        <v>0</v>
      </c>
      <c r="K33" s="56">
        <f t="shared" si="2"/>
        <v>200000</v>
      </c>
      <c r="L33" s="73">
        <v>0</v>
      </c>
      <c r="M33" s="56">
        <v>0</v>
      </c>
      <c r="N33" s="60">
        <v>0</v>
      </c>
    </row>
    <row r="34" spans="1:18" ht="15.75" customHeight="1" x14ac:dyDescent="0.25">
      <c r="A34" s="107" t="s">
        <v>92</v>
      </c>
      <c r="B34" s="108"/>
      <c r="C34" s="108"/>
      <c r="D34" s="108"/>
      <c r="E34" s="108">
        <v>0</v>
      </c>
      <c r="F34" s="109">
        <v>0</v>
      </c>
      <c r="G34" s="110">
        <f t="shared" ref="G34" si="7">C34-E34</f>
        <v>0</v>
      </c>
      <c r="H34" s="110">
        <v>173.01</v>
      </c>
      <c r="I34" s="110">
        <v>103243.35</v>
      </c>
      <c r="J34" s="110">
        <f>103243.35+173.01</f>
        <v>103416.36</v>
      </c>
      <c r="K34" s="56">
        <f t="shared" si="2"/>
        <v>0</v>
      </c>
      <c r="L34" s="73">
        <f t="shared" si="3"/>
        <v>0</v>
      </c>
      <c r="M34" s="56">
        <f t="shared" si="4"/>
        <v>0</v>
      </c>
      <c r="N34" s="60">
        <v>0</v>
      </c>
    </row>
    <row r="35" spans="1:18" ht="15.75" customHeight="1" x14ac:dyDescent="0.25">
      <c r="A35" s="59" t="s">
        <v>68</v>
      </c>
      <c r="B35" s="58">
        <f>SUM(B19:B34)</f>
        <v>57761353.890000001</v>
      </c>
      <c r="C35" s="58">
        <f>SUM(C19:C34)</f>
        <v>25532312.780000001</v>
      </c>
      <c r="D35" s="58">
        <f>SUM(D19:D34)</f>
        <v>0</v>
      </c>
      <c r="E35" s="58">
        <f>SUM(E19:E34)</f>
        <v>18497785.140000001</v>
      </c>
      <c r="F35" s="57"/>
      <c r="G35" s="56">
        <f t="shared" ref="G35:M35" si="8">SUM(G19:G34)</f>
        <v>7034527.6399999997</v>
      </c>
      <c r="H35" s="56">
        <f>SUM(H19:H34)</f>
        <v>7302395.330000001</v>
      </c>
      <c r="I35" s="56">
        <f t="shared" si="8"/>
        <v>103243.35</v>
      </c>
      <c r="J35" s="56">
        <f t="shared" si="8"/>
        <v>371111.04</v>
      </c>
      <c r="K35" s="56">
        <f t="shared" si="8"/>
        <v>7034527.6400000015</v>
      </c>
      <c r="L35" s="56">
        <f t="shared" si="8"/>
        <v>-5.5297277867794037E-10</v>
      </c>
      <c r="M35" s="56">
        <f t="shared" si="8"/>
        <v>-5.5297277867794037E-10</v>
      </c>
      <c r="N35" s="60">
        <v>0</v>
      </c>
    </row>
    <row r="36" spans="1:18" ht="15.75" customHeight="1" x14ac:dyDescent="0.25">
      <c r="A36" s="153"/>
      <c r="B36" s="154"/>
      <c r="C36" s="154"/>
      <c r="D36" s="154"/>
      <c r="E36" s="154"/>
      <c r="F36" s="155"/>
      <c r="G36" s="55"/>
      <c r="H36" s="55"/>
      <c r="I36" s="55"/>
      <c r="J36" s="55"/>
      <c r="K36" s="55"/>
      <c r="L36" s="55"/>
      <c r="M36" s="55"/>
      <c r="N36" s="55"/>
    </row>
    <row r="37" spans="1:18" ht="15.75" customHeight="1" x14ac:dyDescent="0.25">
      <c r="A37" s="153"/>
      <c r="B37" s="154"/>
      <c r="C37" s="154"/>
      <c r="D37" s="154"/>
      <c r="E37" s="154"/>
      <c r="F37" s="155"/>
      <c r="G37" s="55"/>
      <c r="H37" s="55"/>
      <c r="I37" s="55"/>
      <c r="J37" s="55"/>
      <c r="K37" s="55"/>
      <c r="L37" s="55"/>
      <c r="M37" s="55"/>
      <c r="N37" s="55"/>
    </row>
    <row r="38" spans="1:18" ht="15.75" customHeight="1" x14ac:dyDescent="0.25">
      <c r="A38" s="153"/>
      <c r="B38" s="154"/>
      <c r="C38" s="154"/>
      <c r="D38" s="154"/>
      <c r="E38" s="154"/>
      <c r="F38" s="155"/>
      <c r="G38" s="55"/>
      <c r="H38" s="55"/>
      <c r="I38" s="55"/>
      <c r="J38" s="55"/>
      <c r="K38" s="55"/>
      <c r="L38" s="55"/>
      <c r="M38" s="55"/>
      <c r="N38" s="55"/>
    </row>
    <row r="39" spans="1:18" ht="15.75" customHeight="1" x14ac:dyDescent="0.25">
      <c r="A39" s="353" t="s">
        <v>97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55"/>
      <c r="N39" s="54"/>
    </row>
    <row r="40" spans="1:18" ht="15.75" customHeight="1" x14ac:dyDescent="0.25">
      <c r="A40" s="353"/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55"/>
      <c r="N40" s="54"/>
    </row>
    <row r="41" spans="1:18" ht="24.75" customHeight="1" x14ac:dyDescent="0.25">
      <c r="A41" s="353"/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55"/>
      <c r="N41" s="54"/>
    </row>
    <row r="42" spans="1:18" ht="15.75" customHeight="1" x14ac:dyDescent="0.2">
      <c r="C42" s="374"/>
      <c r="D42" s="374"/>
      <c r="E42" s="374"/>
      <c r="F42" s="374"/>
      <c r="G42" s="374"/>
      <c r="H42" s="374"/>
      <c r="I42" s="374"/>
      <c r="J42" s="52"/>
      <c r="K42" s="53"/>
      <c r="L42" s="52"/>
      <c r="M42" s="53"/>
      <c r="N42" s="52"/>
      <c r="O42" s="52"/>
      <c r="P42" s="52"/>
      <c r="Q42" s="52"/>
      <c r="R42" s="52"/>
    </row>
    <row r="43" spans="1:18" ht="15.75" hidden="1" customHeight="1" x14ac:dyDescent="0.25">
      <c r="B43" s="354" t="s">
        <v>16</v>
      </c>
      <c r="C43" s="354"/>
      <c r="D43" s="355" t="s">
        <v>17</v>
      </c>
      <c r="E43" s="356"/>
      <c r="F43" s="357"/>
      <c r="G43" s="358" t="s">
        <v>18</v>
      </c>
      <c r="H43" s="358"/>
      <c r="I43" s="150" t="s">
        <v>8</v>
      </c>
      <c r="J43" s="48"/>
      <c r="K43" s="48"/>
      <c r="M43" s="48"/>
    </row>
    <row r="44" spans="1:18" ht="15.75" hidden="1" customHeight="1" x14ac:dyDescent="0.25">
      <c r="B44" s="359" t="s">
        <v>19</v>
      </c>
      <c r="C44" s="359"/>
      <c r="D44" s="355"/>
      <c r="E44" s="356"/>
      <c r="F44" s="357"/>
      <c r="G44" s="360"/>
      <c r="H44" s="360"/>
      <c r="I44" s="44"/>
      <c r="J44" s="48"/>
      <c r="K44" s="45"/>
      <c r="M44" s="47"/>
    </row>
    <row r="45" spans="1:18" ht="15.75" hidden="1" customHeight="1" x14ac:dyDescent="0.25">
      <c r="B45" s="358" t="s">
        <v>20</v>
      </c>
      <c r="C45" s="358"/>
      <c r="D45" s="361"/>
      <c r="E45" s="362"/>
      <c r="F45" s="363"/>
      <c r="G45" s="364"/>
      <c r="H45" s="364"/>
      <c r="I45" s="44" t="e">
        <f>G45/D45</f>
        <v>#DIV/0!</v>
      </c>
      <c r="J45" s="48"/>
      <c r="K45" s="47"/>
    </row>
    <row r="46" spans="1:18" ht="15.75" hidden="1" customHeight="1" x14ac:dyDescent="0.25">
      <c r="B46" s="358" t="s">
        <v>21</v>
      </c>
      <c r="C46" s="358"/>
      <c r="D46" s="361"/>
      <c r="E46" s="362"/>
      <c r="F46" s="363"/>
      <c r="G46" s="364"/>
      <c r="H46" s="364"/>
      <c r="I46" s="44" t="e">
        <f>G46/D46</f>
        <v>#DIV/0!</v>
      </c>
      <c r="J46" s="46"/>
      <c r="K46" s="45"/>
    </row>
    <row r="47" spans="1:18" ht="15.75" hidden="1" customHeight="1" x14ac:dyDescent="0.25">
      <c r="B47" s="358" t="s">
        <v>22</v>
      </c>
      <c r="C47" s="358"/>
      <c r="D47" s="361"/>
      <c r="E47" s="362"/>
      <c r="F47" s="363"/>
      <c r="G47" s="364"/>
      <c r="H47" s="364"/>
      <c r="I47" s="44" t="e">
        <f>G47/D47</f>
        <v>#DIV/0!</v>
      </c>
    </row>
    <row r="48" spans="1:18" ht="15.75" customHeight="1" x14ac:dyDescent="0.25">
      <c r="B48" s="42"/>
      <c r="C48" s="43"/>
      <c r="D48" s="42"/>
      <c r="E48" s="42"/>
      <c r="F48" s="42"/>
      <c r="G48" s="41"/>
      <c r="H48" s="41"/>
      <c r="I48" s="40"/>
      <c r="L48" s="45"/>
    </row>
    <row r="49" spans="1:14" s="38" customFormat="1" x14ac:dyDescent="0.25">
      <c r="A49" s="387" t="s">
        <v>23</v>
      </c>
      <c r="B49" s="387"/>
      <c r="C49" s="387"/>
      <c r="D49" s="387"/>
      <c r="E49" s="388" t="s">
        <v>24</v>
      </c>
      <c r="F49" s="388"/>
      <c r="G49" s="388"/>
      <c r="H49" s="388"/>
      <c r="I49" s="388"/>
      <c r="J49" s="188"/>
      <c r="K49" s="189" t="s">
        <v>25</v>
      </c>
      <c r="L49" s="189" t="s">
        <v>113</v>
      </c>
      <c r="M49" s="189"/>
      <c r="N49" s="189"/>
    </row>
    <row r="50" spans="1:14" s="29" customFormat="1" x14ac:dyDescent="0.25">
      <c r="A50" s="190"/>
      <c r="B50" s="190"/>
      <c r="C50" s="191"/>
      <c r="D50" s="192"/>
      <c r="E50" s="193"/>
      <c r="F50" s="194"/>
      <c r="G50" s="194"/>
      <c r="H50" s="194"/>
      <c r="I50" s="195"/>
      <c r="J50" s="196"/>
      <c r="K50" s="197"/>
      <c r="L50" s="197"/>
      <c r="M50" s="197"/>
      <c r="N50" s="194"/>
    </row>
    <row r="51" spans="1:14" s="29" customFormat="1" x14ac:dyDescent="0.25">
      <c r="A51" s="190"/>
      <c r="B51" s="190"/>
      <c r="C51" s="191"/>
      <c r="D51" s="192"/>
      <c r="E51" s="193"/>
      <c r="F51" s="194"/>
      <c r="G51" s="194"/>
      <c r="H51" s="194"/>
      <c r="I51" s="195"/>
      <c r="J51" s="196"/>
      <c r="K51" s="197"/>
      <c r="L51" s="197"/>
      <c r="M51" s="197"/>
      <c r="N51" s="194"/>
    </row>
    <row r="52" spans="1:14" s="29" customFormat="1" ht="26.25" customHeight="1" x14ac:dyDescent="0.25">
      <c r="A52" s="385" t="s">
        <v>98</v>
      </c>
      <c r="B52" s="385"/>
      <c r="C52" s="385"/>
      <c r="D52" s="385"/>
      <c r="E52" s="386" t="s">
        <v>100</v>
      </c>
      <c r="F52" s="386"/>
      <c r="G52" s="386"/>
      <c r="H52" s="386"/>
      <c r="I52" s="386"/>
      <c r="J52" s="199" t="s">
        <v>99</v>
      </c>
      <c r="K52" s="200"/>
      <c r="L52" s="200"/>
      <c r="M52" s="200"/>
      <c r="N52" s="200"/>
    </row>
    <row r="53" spans="1:14" s="23" customFormat="1" ht="15.75" customHeight="1" x14ac:dyDescent="0.3">
      <c r="A53" s="370" t="s">
        <v>66</v>
      </c>
      <c r="B53" s="370"/>
      <c r="C53" s="370"/>
      <c r="D53" s="370"/>
      <c r="E53" s="120"/>
      <c r="F53" s="371" t="s">
        <v>65</v>
      </c>
      <c r="G53" s="371"/>
      <c r="H53" s="371"/>
      <c r="I53" s="121"/>
      <c r="J53" s="371" t="s">
        <v>95</v>
      </c>
      <c r="K53" s="371"/>
      <c r="L53" s="371"/>
      <c r="M53" s="152"/>
      <c r="N53" s="202"/>
    </row>
    <row r="54" spans="1:14" s="23" customFormat="1" ht="15.75" customHeight="1" x14ac:dyDescent="0.3">
      <c r="A54" s="201"/>
      <c r="B54" s="389" t="s">
        <v>107</v>
      </c>
      <c r="C54" s="389"/>
      <c r="D54" s="120"/>
      <c r="E54" s="202"/>
      <c r="F54" s="390" t="s">
        <v>111</v>
      </c>
      <c r="G54" s="390"/>
      <c r="H54" s="390"/>
      <c r="I54" s="390"/>
      <c r="J54" s="389" t="s">
        <v>110</v>
      </c>
      <c r="K54" s="389"/>
      <c r="L54" s="120"/>
      <c r="M54" s="120"/>
      <c r="N54" s="202"/>
    </row>
    <row r="55" spans="1:14" ht="15.75" customHeight="1" x14ac:dyDescent="0.2">
      <c r="A55" s="5"/>
      <c r="B55" s="17"/>
      <c r="C55" s="17"/>
      <c r="D55" s="17"/>
      <c r="G55" s="17"/>
      <c r="H55" s="17"/>
      <c r="J55" s="17"/>
      <c r="K55" s="17"/>
      <c r="L55" s="17"/>
      <c r="M55" s="17"/>
    </row>
    <row r="56" spans="1:14" ht="15.75" customHeight="1" x14ac:dyDescent="0.2"/>
    <row r="57" spans="1:14" ht="15.75" customHeight="1" x14ac:dyDescent="0.2">
      <c r="A57" s="22" t="s">
        <v>64</v>
      </c>
    </row>
    <row r="58" spans="1:14" ht="15.75" customHeight="1" x14ac:dyDescent="0.2">
      <c r="A58" s="22"/>
    </row>
    <row r="59" spans="1:14" ht="15.75" customHeight="1" x14ac:dyDescent="0.2">
      <c r="A59" s="22"/>
    </row>
    <row r="60" spans="1:14" ht="15.75" customHeight="1" x14ac:dyDescent="0.25">
      <c r="A60" s="346" t="s">
        <v>0</v>
      </c>
      <c r="B60" s="346"/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</row>
    <row r="61" spans="1:14" ht="15.75" customHeight="1" x14ac:dyDescent="0.2">
      <c r="B61" s="21"/>
      <c r="C61" s="21"/>
      <c r="D61" s="21"/>
      <c r="E61" s="21"/>
      <c r="F61" s="21"/>
      <c r="G61" s="21"/>
      <c r="H61" s="21"/>
    </row>
    <row r="62" spans="1:14" s="19" customFormat="1" ht="15.75" customHeight="1" x14ac:dyDescent="0.25">
      <c r="A62" s="321" t="s">
        <v>63</v>
      </c>
      <c r="B62" s="321"/>
      <c r="C62" s="321"/>
      <c r="D62" s="146"/>
      <c r="E62" s="321" t="s">
        <v>62</v>
      </c>
      <c r="F62" s="321"/>
      <c r="G62" s="321"/>
      <c r="H62" s="321"/>
      <c r="I62" s="321"/>
      <c r="J62" s="321"/>
      <c r="K62" s="321"/>
      <c r="L62" s="321"/>
      <c r="M62" s="321"/>
      <c r="N62" s="321"/>
    </row>
    <row r="63" spans="1:14" ht="15.75" customHeight="1" x14ac:dyDescent="0.2">
      <c r="A63" s="17"/>
      <c r="B63" s="17"/>
      <c r="C63" s="18"/>
      <c r="D63" s="18"/>
      <c r="F63" s="17"/>
      <c r="G63" s="17"/>
      <c r="H63" s="17"/>
    </row>
    <row r="64" spans="1:14" ht="15.75" customHeight="1" x14ac:dyDescent="0.2">
      <c r="A64" s="16" t="s">
        <v>61</v>
      </c>
      <c r="B64" s="14"/>
      <c r="C64" s="14"/>
      <c r="D64" s="14"/>
      <c r="E64" s="347" t="s">
        <v>60</v>
      </c>
      <c r="F64" s="347"/>
      <c r="G64" s="347"/>
      <c r="H64" s="347"/>
      <c r="I64" s="347"/>
    </row>
    <row r="65" spans="1:14" ht="5.0999999999999996" customHeight="1" x14ac:dyDescent="0.2">
      <c r="A65" s="147"/>
      <c r="B65" s="147"/>
      <c r="C65" s="147"/>
      <c r="D65" s="147"/>
      <c r="E65" s="147"/>
      <c r="F65" s="10"/>
      <c r="G65" s="10"/>
    </row>
    <row r="66" spans="1:14" ht="15.75" customHeight="1" x14ac:dyDescent="0.25">
      <c r="A66" s="348" t="s">
        <v>59</v>
      </c>
      <c r="B66" s="348"/>
      <c r="C66" s="14"/>
      <c r="D66" s="14"/>
      <c r="E66" s="347" t="s">
        <v>58</v>
      </c>
      <c r="F66" s="347"/>
      <c r="G66" s="347"/>
      <c r="H66" s="347"/>
      <c r="I66" s="347"/>
      <c r="J66" s="13"/>
      <c r="K66" s="13"/>
      <c r="L66" s="13"/>
      <c r="M66" s="13"/>
      <c r="N66" s="13"/>
    </row>
    <row r="67" spans="1:14" ht="5.0999999999999996" customHeight="1" x14ac:dyDescent="0.2">
      <c r="A67" s="5"/>
      <c r="B67" s="5"/>
    </row>
    <row r="68" spans="1:14" ht="15.75" customHeight="1" x14ac:dyDescent="0.25">
      <c r="A68" s="3" t="s">
        <v>57</v>
      </c>
      <c r="B68" s="3"/>
      <c r="E68" s="2" t="s">
        <v>56</v>
      </c>
    </row>
    <row r="69" spans="1:14" ht="5.0999999999999996" customHeight="1" x14ac:dyDescent="0.2">
      <c r="A69" s="5"/>
      <c r="B69" s="5"/>
    </row>
    <row r="70" spans="1:14" ht="47.25" customHeight="1" x14ac:dyDescent="0.25">
      <c r="A70" s="11" t="s">
        <v>55</v>
      </c>
      <c r="B70" s="3"/>
      <c r="E70" s="349" t="s">
        <v>54</v>
      </c>
      <c r="F70" s="349"/>
      <c r="G70" s="349"/>
      <c r="H70" s="349"/>
      <c r="I70" s="349"/>
      <c r="J70" s="349"/>
      <c r="K70" s="349"/>
      <c r="L70" s="349"/>
      <c r="M70" s="349"/>
      <c r="N70" s="349"/>
    </row>
    <row r="71" spans="1:14" ht="5.0999999999999996" customHeight="1" x14ac:dyDescent="0.2">
      <c r="A71" s="5"/>
      <c r="B71" s="5"/>
      <c r="E71" s="12"/>
    </row>
    <row r="72" spans="1:14" ht="47.25" customHeight="1" x14ac:dyDescent="0.25">
      <c r="A72" s="11" t="s">
        <v>53</v>
      </c>
      <c r="B72" s="3"/>
      <c r="E72" s="350" t="s">
        <v>52</v>
      </c>
      <c r="F72" s="350"/>
      <c r="G72" s="350"/>
      <c r="H72" s="350"/>
      <c r="I72" s="350"/>
      <c r="J72" s="350"/>
      <c r="K72" s="350"/>
      <c r="L72" s="350"/>
      <c r="M72" s="350"/>
      <c r="N72" s="350"/>
    </row>
    <row r="73" spans="1:14" ht="5.0999999999999996" customHeight="1" x14ac:dyDescent="0.25">
      <c r="A73" s="5"/>
      <c r="B73" s="5"/>
      <c r="E73" s="2"/>
    </row>
    <row r="74" spans="1:14" ht="49.5" customHeight="1" x14ac:dyDescent="0.25">
      <c r="A74" s="11" t="s">
        <v>6</v>
      </c>
      <c r="B74" s="3"/>
      <c r="E74" s="351" t="s">
        <v>51</v>
      </c>
      <c r="F74" s="351"/>
      <c r="G74" s="351"/>
      <c r="H74" s="351"/>
      <c r="I74" s="351"/>
      <c r="J74" s="351"/>
      <c r="K74" s="351"/>
      <c r="L74" s="351"/>
      <c r="M74" s="351"/>
      <c r="N74" s="351"/>
    </row>
    <row r="75" spans="1:14" ht="5.0999999999999996" customHeight="1" x14ac:dyDescent="0.25">
      <c r="A75" s="5"/>
      <c r="B75" s="5"/>
      <c r="E75" s="2"/>
    </row>
    <row r="76" spans="1:14" ht="49.5" customHeight="1" x14ac:dyDescent="0.25">
      <c r="A76" s="11" t="s">
        <v>50</v>
      </c>
      <c r="B76" s="3"/>
      <c r="E76" s="351" t="s">
        <v>49</v>
      </c>
      <c r="F76" s="351"/>
      <c r="G76" s="351"/>
      <c r="H76" s="351"/>
      <c r="I76" s="351"/>
      <c r="J76" s="351"/>
      <c r="K76" s="351"/>
      <c r="L76" s="351"/>
      <c r="M76" s="351"/>
      <c r="N76" s="351"/>
    </row>
    <row r="77" spans="1:14" ht="5.0999999999999996" customHeight="1" x14ac:dyDescent="0.2">
      <c r="A77" s="10"/>
      <c r="B77" s="10"/>
    </row>
    <row r="78" spans="1:14" ht="30.75" customHeight="1" x14ac:dyDescent="0.25">
      <c r="A78" s="9" t="s">
        <v>8</v>
      </c>
      <c r="B78" s="3"/>
      <c r="E78" s="349" t="s">
        <v>48</v>
      </c>
      <c r="F78" s="352"/>
      <c r="G78" s="352"/>
      <c r="H78" s="352"/>
      <c r="I78" s="352"/>
      <c r="J78" s="352"/>
      <c r="K78" s="352"/>
      <c r="L78" s="352"/>
      <c r="M78" s="352"/>
      <c r="N78" s="352"/>
    </row>
    <row r="79" spans="1:14" ht="5.0999999999999996" customHeight="1" x14ac:dyDescent="0.2">
      <c r="A79" s="5"/>
      <c r="B79" s="5"/>
    </row>
    <row r="80" spans="1:14" ht="15.75" customHeight="1" x14ac:dyDescent="0.25">
      <c r="A80" s="3" t="s">
        <v>47</v>
      </c>
      <c r="B80" s="3"/>
      <c r="E80" s="2" t="s">
        <v>46</v>
      </c>
    </row>
    <row r="81" spans="1:14" ht="5.0999999999999996" customHeight="1" x14ac:dyDescent="0.2">
      <c r="A81" s="5"/>
      <c r="B81" s="5"/>
    </row>
    <row r="82" spans="1:14" ht="15.75" customHeight="1" x14ac:dyDescent="0.25">
      <c r="A82" s="8" t="s">
        <v>45</v>
      </c>
      <c r="B82" s="3"/>
      <c r="E82" s="7" t="s">
        <v>44</v>
      </c>
    </row>
    <row r="83" spans="1:14" ht="5.0999999999999996" customHeight="1" x14ac:dyDescent="0.2">
      <c r="A83" s="5"/>
      <c r="B83" s="5"/>
    </row>
    <row r="84" spans="1:14" ht="15.75" customHeight="1" x14ac:dyDescent="0.25">
      <c r="A84" s="3" t="s">
        <v>43</v>
      </c>
      <c r="B84" s="3"/>
      <c r="E84" s="2" t="s">
        <v>42</v>
      </c>
    </row>
    <row r="85" spans="1:14" ht="5.0999999999999996" customHeight="1" x14ac:dyDescent="0.2">
      <c r="A85" s="5"/>
      <c r="B85" s="5"/>
    </row>
    <row r="86" spans="1:14" ht="15.75" customHeight="1" x14ac:dyDescent="0.25">
      <c r="A86" s="3" t="s">
        <v>41</v>
      </c>
      <c r="B86" s="3"/>
      <c r="E86" s="2" t="s">
        <v>40</v>
      </c>
    </row>
    <row r="87" spans="1:14" ht="5.0999999999999996" customHeight="1" x14ac:dyDescent="0.25">
      <c r="A87" s="3"/>
      <c r="B87" s="3"/>
      <c r="E87" s="2"/>
    </row>
    <row r="88" spans="1:14" ht="15.75" customHeight="1" x14ac:dyDescent="0.25">
      <c r="A88" s="8" t="s">
        <v>39</v>
      </c>
      <c r="B88" s="3"/>
      <c r="E88" s="7" t="s">
        <v>38</v>
      </c>
    </row>
    <row r="89" spans="1:14" ht="5.0999999999999996" customHeight="1" x14ac:dyDescent="0.2">
      <c r="A89" s="5"/>
      <c r="B89" s="5"/>
    </row>
    <row r="90" spans="1:14" ht="37.5" customHeight="1" x14ac:dyDescent="0.25">
      <c r="A90" s="6" t="s">
        <v>37</v>
      </c>
      <c r="B90" s="3"/>
      <c r="E90" s="344" t="s">
        <v>36</v>
      </c>
      <c r="F90" s="345"/>
      <c r="G90" s="345"/>
      <c r="H90" s="345"/>
      <c r="I90" s="345"/>
      <c r="J90" s="345"/>
      <c r="K90" s="345"/>
      <c r="L90" s="345"/>
      <c r="M90" s="345"/>
      <c r="N90" s="345"/>
    </row>
    <row r="91" spans="1:14" ht="5.0999999999999996" customHeight="1" x14ac:dyDescent="0.2">
      <c r="A91" s="5"/>
      <c r="B91" s="5"/>
    </row>
    <row r="92" spans="1:14" ht="15.75" customHeight="1" x14ac:dyDescent="0.25">
      <c r="A92" s="3" t="s">
        <v>35</v>
      </c>
      <c r="B92" s="3"/>
      <c r="E92" s="2" t="s">
        <v>34</v>
      </c>
    </row>
    <row r="93" spans="1:14" ht="5.0999999999999996" customHeight="1" x14ac:dyDescent="0.2">
      <c r="A93" s="5"/>
      <c r="B93" s="5"/>
    </row>
    <row r="94" spans="1:14" ht="15.75" customHeight="1" x14ac:dyDescent="0.25">
      <c r="A94" s="3" t="s">
        <v>33</v>
      </c>
      <c r="B94" s="3"/>
      <c r="E94" s="2" t="s">
        <v>32</v>
      </c>
    </row>
    <row r="95" spans="1:14" ht="5.0999999999999996" customHeight="1" x14ac:dyDescent="0.2">
      <c r="A95" s="5"/>
      <c r="B95" s="5"/>
    </row>
    <row r="96" spans="1:14" ht="15.75" customHeight="1" x14ac:dyDescent="0.25">
      <c r="A96" s="3" t="s">
        <v>31</v>
      </c>
      <c r="B96" s="3"/>
      <c r="E96" s="2" t="s">
        <v>30</v>
      </c>
    </row>
    <row r="97" spans="1:5" ht="5.0999999999999996" customHeight="1" x14ac:dyDescent="0.2">
      <c r="A97" s="5"/>
      <c r="B97" s="5"/>
    </row>
    <row r="98" spans="1:5" ht="15.75" customHeight="1" x14ac:dyDescent="0.25">
      <c r="A98" s="3" t="s">
        <v>29</v>
      </c>
      <c r="B98" s="3"/>
      <c r="E98" s="2" t="s">
        <v>28</v>
      </c>
    </row>
    <row r="99" spans="1:5" ht="5.0999999999999996" customHeight="1" x14ac:dyDescent="0.2">
      <c r="A99" s="5"/>
      <c r="B99" s="5"/>
    </row>
    <row r="100" spans="1:5" ht="15.75" customHeight="1" x14ac:dyDescent="0.25">
      <c r="A100" s="4" t="s">
        <v>14</v>
      </c>
      <c r="B100" s="3"/>
      <c r="E100" s="2" t="s">
        <v>27</v>
      </c>
    </row>
  </sheetData>
  <mergeCells count="55">
    <mergeCell ref="E90:N90"/>
    <mergeCell ref="A60:N60"/>
    <mergeCell ref="A62:C62"/>
    <mergeCell ref="E62:N62"/>
    <mergeCell ref="E64:I64"/>
    <mergeCell ref="A66:B66"/>
    <mergeCell ref="E66:I66"/>
    <mergeCell ref="E70:N70"/>
    <mergeCell ref="E72:N72"/>
    <mergeCell ref="E74:N74"/>
    <mergeCell ref="E76:N76"/>
    <mergeCell ref="E78:N78"/>
    <mergeCell ref="F53:H53"/>
    <mergeCell ref="J53:L53"/>
    <mergeCell ref="B54:C54"/>
    <mergeCell ref="F54:I54"/>
    <mergeCell ref="J54:K54"/>
    <mergeCell ref="A53:D53"/>
    <mergeCell ref="A52:D52"/>
    <mergeCell ref="E52:I52"/>
    <mergeCell ref="B45:C45"/>
    <mergeCell ref="D45:F45"/>
    <mergeCell ref="G45:H45"/>
    <mergeCell ref="B46:C46"/>
    <mergeCell ref="D46:F46"/>
    <mergeCell ref="G46:H46"/>
    <mergeCell ref="B47:C47"/>
    <mergeCell ref="D47:F47"/>
    <mergeCell ref="G47:H47"/>
    <mergeCell ref="A49:D49"/>
    <mergeCell ref="E49:I49"/>
    <mergeCell ref="B44:C44"/>
    <mergeCell ref="D44:F44"/>
    <mergeCell ref="G44:H44"/>
    <mergeCell ref="F12:F13"/>
    <mergeCell ref="G12:G13"/>
    <mergeCell ref="H12:H13"/>
    <mergeCell ref="A39:L41"/>
    <mergeCell ref="C42:I42"/>
    <mergeCell ref="B43:C43"/>
    <mergeCell ref="D43:F43"/>
    <mergeCell ref="G43:H43"/>
    <mergeCell ref="I12:I13"/>
    <mergeCell ref="J12:J13"/>
    <mergeCell ref="K12:K13"/>
    <mergeCell ref="A12:A13"/>
    <mergeCell ref="B12:B13"/>
    <mergeCell ref="C12:C13"/>
    <mergeCell ref="D12:D13"/>
    <mergeCell ref="E12:E13"/>
    <mergeCell ref="A4:N4"/>
    <mergeCell ref="A6:N6"/>
    <mergeCell ref="D7:I7"/>
    <mergeCell ref="C11:G11"/>
    <mergeCell ref="H11:K11"/>
  </mergeCells>
  <pageMargins left="0.62992125984251968" right="0.62992125984251968" top="0.39370078740157483" bottom="0.23622047244094491" header="0" footer="0"/>
  <pageSetup scale="69" orientation="landscape" r:id="rId1"/>
  <headerFooter alignWithMargins="0">
    <oddFooter>&amp;R</oddFooter>
  </headerFooter>
  <rowBreaks count="1" manualBreakCount="1">
    <brk id="56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4:S100"/>
  <sheetViews>
    <sheetView showGridLines="0" topLeftCell="A4" zoomScale="130" zoomScaleNormal="130" zoomScaleSheetLayoutView="100" workbookViewId="0">
      <selection activeCell="J19" sqref="J19"/>
    </sheetView>
  </sheetViews>
  <sheetFormatPr baseColWidth="10" defaultRowHeight="12.75" x14ac:dyDescent="0.2"/>
  <cols>
    <col min="1" max="1" width="26.710937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156"/>
      <c r="B7" s="156"/>
      <c r="C7" s="156"/>
      <c r="D7" s="321" t="s">
        <v>116</v>
      </c>
      <c r="E7" s="321"/>
      <c r="F7" s="321"/>
      <c r="G7" s="321"/>
      <c r="H7" s="321"/>
      <c r="I7" s="321"/>
      <c r="J7" s="156"/>
      <c r="K7" s="156"/>
      <c r="L7" s="156"/>
      <c r="M7" s="156"/>
      <c r="N7" s="156"/>
    </row>
    <row r="8" spans="1:14" ht="15.75" customHeight="1" x14ac:dyDescent="0.25">
      <c r="A8" s="85"/>
      <c r="B8" s="84"/>
      <c r="C8" s="84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5.75" hidden="1" customHeight="1" x14ac:dyDescent="0.25">
      <c r="A9" s="85" t="s">
        <v>1</v>
      </c>
      <c r="B9" s="84"/>
      <c r="C9" s="84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15.75" customHeight="1" x14ac:dyDescent="0.2">
      <c r="B10" s="5"/>
      <c r="C10" s="83"/>
      <c r="D10" s="5"/>
      <c r="E10" s="2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158"/>
      <c r="M12" s="158"/>
      <c r="N12" s="157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158"/>
      <c r="M13" s="158"/>
      <c r="N13" s="79" t="s">
        <v>15</v>
      </c>
    </row>
    <row r="14" spans="1:14" ht="15.75" customHeight="1" x14ac:dyDescent="0.25">
      <c r="A14" s="77" t="s">
        <v>81</v>
      </c>
      <c r="B14" s="78"/>
      <c r="C14" s="73">
        <v>3508474.65</v>
      </c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73">
        <v>0</v>
      </c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73">
        <v>2470256.88</v>
      </c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73">
        <v>1381929.88</v>
      </c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73">
        <v>0</v>
      </c>
      <c r="D18" s="58"/>
      <c r="F18" s="60"/>
      <c r="G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>
        <v>13131151.18</v>
      </c>
      <c r="C19" s="73">
        <f>SUM(C14:C18)</f>
        <v>7360661.4099999992</v>
      </c>
      <c r="D19" s="58"/>
      <c r="E19" s="58">
        <v>5372577.4500000002</v>
      </c>
      <c r="F19" s="73"/>
      <c r="G19" s="56">
        <f>+C19+D19-E19</f>
        <v>1988083.959999999</v>
      </c>
      <c r="H19" s="56">
        <f>1384101.61+615477.17</f>
        <v>1999578.7800000003</v>
      </c>
      <c r="I19" s="56">
        <v>0</v>
      </c>
      <c r="J19" s="56">
        <f>9937+0.4</f>
        <v>9937.4</v>
      </c>
      <c r="K19" s="56">
        <f>+H19+I19-J19</f>
        <v>1989641.3800000004</v>
      </c>
      <c r="L19" s="73">
        <f>+G19-K19</f>
        <v>-1557.4200000013225</v>
      </c>
      <c r="M19" s="56">
        <f>G19-K19</f>
        <v>-1557.4200000013225</v>
      </c>
      <c r="N19" s="72"/>
      <c r="O19" s="68"/>
    </row>
    <row r="20" spans="1:19" ht="15.75" customHeight="1" x14ac:dyDescent="0.25">
      <c r="A20" s="62" t="s">
        <v>75</v>
      </c>
      <c r="B20" s="61">
        <v>16873510</v>
      </c>
      <c r="C20" s="61">
        <v>6006747.3499999996</v>
      </c>
      <c r="D20" s="58"/>
      <c r="E20" s="58">
        <v>4018995.77</v>
      </c>
      <c r="F20" s="60">
        <f t="shared" ref="F20:F30" si="0">E20/C20</f>
        <v>0.66908020860907369</v>
      </c>
      <c r="G20" s="56">
        <f t="shared" ref="G20:G33" si="1">+C20+D20-E20</f>
        <v>1987751.5799999996</v>
      </c>
      <c r="H20" s="56">
        <v>1751456.4</v>
      </c>
      <c r="I20" s="56">
        <v>0</v>
      </c>
      <c r="J20" s="56">
        <f>95838-1.15</f>
        <v>95836.85</v>
      </c>
      <c r="K20" s="56">
        <f t="shared" ref="K20:K34" si="2">+H20+I20-J20</f>
        <v>1655619.5499999998</v>
      </c>
      <c r="L20" s="73">
        <f t="shared" ref="L20:L34" si="3">+G20-K20</f>
        <v>332132.0299999998</v>
      </c>
      <c r="M20" s="56">
        <f t="shared" ref="M20:M34" si="4">G20-K20</f>
        <v>332132.0299999998</v>
      </c>
      <c r="N20" s="60">
        <f t="shared" ref="N20:N29" si="5">E20/B20</f>
        <v>0.23818374303864459</v>
      </c>
      <c r="O20" s="70"/>
      <c r="P20" s="71"/>
      <c r="Q20" s="48"/>
    </row>
    <row r="21" spans="1:19" ht="15.75" customHeight="1" x14ac:dyDescent="0.25">
      <c r="A21" s="62" t="s">
        <v>74</v>
      </c>
      <c r="B21" s="61">
        <v>7436006</v>
      </c>
      <c r="C21" s="61">
        <v>2613570.77</v>
      </c>
      <c r="D21" s="58"/>
      <c r="E21" s="58">
        <v>2808607.86</v>
      </c>
      <c r="F21" s="60">
        <f t="shared" si="0"/>
        <v>1.0746247594435714</v>
      </c>
      <c r="G21" s="56">
        <f t="shared" si="1"/>
        <v>-195037.08999999985</v>
      </c>
      <c r="H21" s="56">
        <v>40635.910000000003</v>
      </c>
      <c r="I21" s="56">
        <v>0</v>
      </c>
      <c r="J21" s="56">
        <v>79287</v>
      </c>
      <c r="K21" s="56">
        <f t="shared" si="2"/>
        <v>-38651.089999999997</v>
      </c>
      <c r="L21" s="73">
        <f t="shared" si="3"/>
        <v>-156385.99999999985</v>
      </c>
      <c r="M21" s="56">
        <f t="shared" si="4"/>
        <v>-156385.99999999985</v>
      </c>
      <c r="N21" s="60">
        <f t="shared" si="5"/>
        <v>0.37770381842080275</v>
      </c>
      <c r="O21" s="70"/>
      <c r="P21" s="69"/>
      <c r="Q21" s="45"/>
    </row>
    <row r="22" spans="1:19" ht="15.75" customHeight="1" x14ac:dyDescent="0.25">
      <c r="A22" s="62" t="s">
        <v>73</v>
      </c>
      <c r="B22" s="61">
        <v>281545</v>
      </c>
      <c r="C22" s="63">
        <v>134409.20000000001</v>
      </c>
      <c r="D22" s="104"/>
      <c r="E22" s="58">
        <v>0</v>
      </c>
      <c r="F22" s="60">
        <f>E22/C22</f>
        <v>0</v>
      </c>
      <c r="G22" s="56">
        <f>+C22+D22-E22</f>
        <v>134409.20000000001</v>
      </c>
      <c r="H22" s="56">
        <v>134409.20000000001</v>
      </c>
      <c r="I22" s="56">
        <v>0</v>
      </c>
      <c r="J22" s="56">
        <v>0</v>
      </c>
      <c r="K22" s="56">
        <f t="shared" si="2"/>
        <v>134409.20000000001</v>
      </c>
      <c r="L22" s="73">
        <f t="shared" si="3"/>
        <v>0</v>
      </c>
      <c r="M22" s="56">
        <f t="shared" si="4"/>
        <v>0</v>
      </c>
      <c r="N22" s="60">
        <f t="shared" si="5"/>
        <v>0</v>
      </c>
      <c r="O22" s="68"/>
    </row>
    <row r="23" spans="1:19" ht="15.75" customHeight="1" x14ac:dyDescent="0.25">
      <c r="A23" s="62" t="s">
        <v>86</v>
      </c>
      <c r="B23" s="61">
        <v>824025</v>
      </c>
      <c r="C23" s="61">
        <v>434388.14</v>
      </c>
      <c r="D23" s="58"/>
      <c r="E23" s="58">
        <v>199004</v>
      </c>
      <c r="F23" s="60">
        <f t="shared" ref="F23:F25" si="6">E23/C23</f>
        <v>0.45812484659456859</v>
      </c>
      <c r="G23" s="56">
        <f>+C23+D23-E23</f>
        <v>235384.14</v>
      </c>
      <c r="H23" s="56">
        <v>235384.14</v>
      </c>
      <c r="I23" s="56">
        <v>0</v>
      </c>
      <c r="J23" s="56">
        <v>0</v>
      </c>
      <c r="K23" s="56">
        <f t="shared" si="2"/>
        <v>235384.14</v>
      </c>
      <c r="L23" s="73">
        <f t="shared" si="3"/>
        <v>0</v>
      </c>
      <c r="M23" s="56">
        <f t="shared" si="4"/>
        <v>0</v>
      </c>
      <c r="N23" s="60">
        <f t="shared" si="5"/>
        <v>0.24150238160249993</v>
      </c>
    </row>
    <row r="24" spans="1:19" ht="15.75" customHeight="1" x14ac:dyDescent="0.25">
      <c r="A24" s="62" t="s">
        <v>72</v>
      </c>
      <c r="B24" s="61">
        <v>600184</v>
      </c>
      <c r="C24" s="61">
        <v>173627.38</v>
      </c>
      <c r="D24" s="58"/>
      <c r="E24" s="58">
        <v>74656.53</v>
      </c>
      <c r="F24" s="60">
        <f t="shared" si="6"/>
        <v>0.42998131976650222</v>
      </c>
      <c r="G24" s="56">
        <f t="shared" si="1"/>
        <v>98970.85</v>
      </c>
      <c r="H24" s="56">
        <v>98970.85</v>
      </c>
      <c r="I24" s="56">
        <v>0</v>
      </c>
      <c r="J24" s="56">
        <v>0</v>
      </c>
      <c r="K24" s="56">
        <f t="shared" si="2"/>
        <v>98970.85</v>
      </c>
      <c r="L24" s="73">
        <f t="shared" si="3"/>
        <v>0</v>
      </c>
      <c r="M24" s="56">
        <f t="shared" si="4"/>
        <v>0</v>
      </c>
      <c r="N24" s="60">
        <f t="shared" si="5"/>
        <v>0.12438940391613239</v>
      </c>
    </row>
    <row r="25" spans="1:19" ht="15.75" customHeight="1" x14ac:dyDescent="0.25">
      <c r="A25" s="62" t="s">
        <v>93</v>
      </c>
      <c r="B25" s="61">
        <v>11851740</v>
      </c>
      <c r="C25" s="63">
        <v>4938386.4000000004</v>
      </c>
      <c r="D25" s="104"/>
      <c r="E25" s="104">
        <v>4533656.12</v>
      </c>
      <c r="F25" s="60">
        <f t="shared" si="6"/>
        <v>0.9180440234486309</v>
      </c>
      <c r="G25" s="56">
        <f t="shared" si="1"/>
        <v>404730.28000000026</v>
      </c>
      <c r="H25" s="67">
        <v>661552.31999999995</v>
      </c>
      <c r="I25" s="67">
        <v>0</v>
      </c>
      <c r="J25" s="67">
        <f>78867+0.22+1517-0.79+2250</f>
        <v>82633.430000000008</v>
      </c>
      <c r="K25" s="56">
        <f t="shared" si="2"/>
        <v>578918.8899999999</v>
      </c>
      <c r="L25" s="73">
        <f t="shared" si="3"/>
        <v>-174188.60999999964</v>
      </c>
      <c r="M25" s="56">
        <f t="shared" si="4"/>
        <v>-174188.60999999964</v>
      </c>
      <c r="N25" s="66">
        <f t="shared" si="5"/>
        <v>0.38253084525985215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91</v>
      </c>
      <c r="B26" s="61">
        <v>3479677</v>
      </c>
      <c r="C26" s="58">
        <v>1740104.81</v>
      </c>
      <c r="D26" s="104"/>
      <c r="E26" s="58">
        <v>0</v>
      </c>
      <c r="F26" s="66">
        <f t="shared" si="0"/>
        <v>0</v>
      </c>
      <c r="G26" s="67">
        <f>+C26+D26-E26</f>
        <v>1740104.81</v>
      </c>
      <c r="H26" s="56">
        <v>1740104.81</v>
      </c>
      <c r="I26" s="56">
        <v>0</v>
      </c>
      <c r="J26" s="56">
        <v>0</v>
      </c>
      <c r="K26" s="56">
        <f t="shared" si="2"/>
        <v>1740104.81</v>
      </c>
      <c r="L26" s="73">
        <f t="shared" si="3"/>
        <v>0</v>
      </c>
      <c r="M26" s="56">
        <f t="shared" si="4"/>
        <v>0</v>
      </c>
      <c r="N26" s="60">
        <f t="shared" si="5"/>
        <v>0</v>
      </c>
      <c r="O26" s="64"/>
    </row>
    <row r="27" spans="1:19" ht="15.75" customHeight="1" x14ac:dyDescent="0.25">
      <c r="A27" s="62" t="s">
        <v>90</v>
      </c>
      <c r="B27" s="61"/>
      <c r="C27" s="58">
        <v>0</v>
      </c>
      <c r="D27" s="104"/>
      <c r="E27" s="58">
        <v>0</v>
      </c>
      <c r="F27" s="66">
        <v>0</v>
      </c>
      <c r="G27" s="67">
        <f>+C27+D27-E27</f>
        <v>0</v>
      </c>
      <c r="H27" s="56">
        <v>0</v>
      </c>
      <c r="I27" s="56">
        <v>0</v>
      </c>
      <c r="J27" s="56">
        <v>0</v>
      </c>
      <c r="K27" s="56">
        <f>+H27+I27-J27</f>
        <v>0</v>
      </c>
      <c r="L27" s="73">
        <f t="shared" si="3"/>
        <v>0</v>
      </c>
      <c r="M27" s="56">
        <f t="shared" si="4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63">
        <v>99465</v>
      </c>
      <c r="C28" s="61">
        <v>75231.009999999995</v>
      </c>
      <c r="D28" s="58"/>
      <c r="E28" s="58">
        <v>52807.06</v>
      </c>
      <c r="F28" s="60">
        <f t="shared" si="0"/>
        <v>0.70193208890854986</v>
      </c>
      <c r="G28" s="67">
        <f>+C28+D28-E28</f>
        <v>22423.949999999997</v>
      </c>
      <c r="H28" s="56">
        <v>22423.95</v>
      </c>
      <c r="I28" s="56">
        <v>0</v>
      </c>
      <c r="J28" s="56">
        <v>0</v>
      </c>
      <c r="K28" s="56">
        <f t="shared" si="2"/>
        <v>22423.95</v>
      </c>
      <c r="L28" s="73">
        <f t="shared" si="3"/>
        <v>0</v>
      </c>
      <c r="M28" s="56">
        <f t="shared" si="4"/>
        <v>0</v>
      </c>
      <c r="N28" s="60">
        <f t="shared" si="5"/>
        <v>0.53091097370934492</v>
      </c>
    </row>
    <row r="29" spans="1:19" ht="15.75" customHeight="1" x14ac:dyDescent="0.25">
      <c r="A29" s="62" t="s">
        <v>69</v>
      </c>
      <c r="B29" s="61">
        <v>29793</v>
      </c>
      <c r="C29" s="61">
        <v>12415.73</v>
      </c>
      <c r="D29" s="58"/>
      <c r="E29" s="58">
        <v>0</v>
      </c>
      <c r="F29" s="60">
        <f t="shared" si="0"/>
        <v>0</v>
      </c>
      <c r="G29" s="56">
        <f t="shared" si="1"/>
        <v>12415.73</v>
      </c>
      <c r="H29" s="56">
        <v>12415.73</v>
      </c>
      <c r="I29" s="56">
        <v>0</v>
      </c>
      <c r="J29" s="56">
        <v>0</v>
      </c>
      <c r="K29" s="56">
        <f t="shared" si="2"/>
        <v>12415.73</v>
      </c>
      <c r="L29" s="73">
        <f t="shared" si="3"/>
        <v>0</v>
      </c>
      <c r="M29" s="56">
        <f t="shared" si="4"/>
        <v>0</v>
      </c>
      <c r="N29" s="60">
        <f t="shared" si="5"/>
        <v>0</v>
      </c>
    </row>
    <row r="30" spans="1:19" ht="15.75" customHeight="1" x14ac:dyDescent="0.25">
      <c r="A30" s="62" t="s">
        <v>26</v>
      </c>
      <c r="B30" s="61">
        <v>68757.710000000006</v>
      </c>
      <c r="C30" s="112">
        <v>68767.58</v>
      </c>
      <c r="D30" s="58"/>
      <c r="E30" s="58">
        <v>0</v>
      </c>
      <c r="F30" s="60">
        <f t="shared" si="0"/>
        <v>0</v>
      </c>
      <c r="G30" s="56">
        <f t="shared" si="1"/>
        <v>68767.58</v>
      </c>
      <c r="H30" s="56">
        <v>68767.58</v>
      </c>
      <c r="I30" s="56">
        <v>0</v>
      </c>
      <c r="J30" s="56">
        <v>0</v>
      </c>
      <c r="K30" s="56">
        <f t="shared" si="2"/>
        <v>68767.58</v>
      </c>
      <c r="L30" s="73">
        <f t="shared" si="3"/>
        <v>0</v>
      </c>
      <c r="M30" s="56">
        <f t="shared" si="4"/>
        <v>0</v>
      </c>
      <c r="N30" s="60">
        <v>0</v>
      </c>
    </row>
    <row r="31" spans="1:19" ht="15.75" customHeight="1" x14ac:dyDescent="0.25">
      <c r="A31" s="62" t="s">
        <v>85</v>
      </c>
      <c r="B31" s="61"/>
      <c r="C31" s="61">
        <v>0</v>
      </c>
      <c r="D31" s="58"/>
      <c r="E31" s="58">
        <v>0</v>
      </c>
      <c r="F31" s="60">
        <v>0</v>
      </c>
      <c r="G31" s="56">
        <f t="shared" si="1"/>
        <v>0</v>
      </c>
      <c r="H31" s="56">
        <v>0</v>
      </c>
      <c r="I31" s="56">
        <v>0</v>
      </c>
      <c r="J31" s="56">
        <v>0</v>
      </c>
      <c r="K31" s="56">
        <f t="shared" si="2"/>
        <v>0</v>
      </c>
      <c r="L31" s="73">
        <f t="shared" si="3"/>
        <v>0</v>
      </c>
      <c r="M31" s="56">
        <f t="shared" si="4"/>
        <v>0</v>
      </c>
      <c r="N31" s="60">
        <v>0</v>
      </c>
    </row>
    <row r="32" spans="1:19" ht="15.75" customHeight="1" x14ac:dyDescent="0.25">
      <c r="A32" s="62" t="s">
        <v>84</v>
      </c>
      <c r="B32" s="61">
        <v>2885500</v>
      </c>
      <c r="C32" s="61">
        <f>251969+42.85+1521991</f>
        <v>1774002.85</v>
      </c>
      <c r="D32" s="58"/>
      <c r="E32" s="58">
        <v>1437480.35</v>
      </c>
      <c r="F32" s="60"/>
      <c r="G32" s="56">
        <f t="shared" si="1"/>
        <v>336522.5</v>
      </c>
      <c r="H32" s="56">
        <f>0.01+336522.49</f>
        <v>336522.5</v>
      </c>
      <c r="I32" s="56">
        <v>0</v>
      </c>
      <c r="J32" s="56">
        <v>0</v>
      </c>
      <c r="K32" s="56">
        <f t="shared" si="2"/>
        <v>336522.5</v>
      </c>
      <c r="L32" s="73">
        <f t="shared" si="3"/>
        <v>0</v>
      </c>
      <c r="M32" s="56">
        <f t="shared" si="4"/>
        <v>0</v>
      </c>
      <c r="N32" s="60">
        <v>0</v>
      </c>
    </row>
    <row r="33" spans="1:18" ht="15.75" customHeight="1" x14ac:dyDescent="0.25">
      <c r="A33" s="62" t="s">
        <v>114</v>
      </c>
      <c r="B33" s="61">
        <v>200000</v>
      </c>
      <c r="C33" s="61">
        <v>200000</v>
      </c>
      <c r="D33" s="58"/>
      <c r="E33" s="58">
        <v>0</v>
      </c>
      <c r="F33" s="60"/>
      <c r="G33" s="56">
        <f t="shared" si="1"/>
        <v>200000</v>
      </c>
      <c r="H33" s="56">
        <v>200000</v>
      </c>
      <c r="I33" s="56">
        <v>0</v>
      </c>
      <c r="J33" s="56">
        <v>0</v>
      </c>
      <c r="K33" s="56">
        <f t="shared" si="2"/>
        <v>200000</v>
      </c>
      <c r="L33" s="73">
        <v>0</v>
      </c>
      <c r="M33" s="56">
        <v>0</v>
      </c>
      <c r="N33" s="60">
        <v>0</v>
      </c>
    </row>
    <row r="34" spans="1:18" ht="15.75" customHeight="1" x14ac:dyDescent="0.25">
      <c r="A34" s="107" t="s">
        <v>92</v>
      </c>
      <c r="B34" s="108"/>
      <c r="C34" s="108"/>
      <c r="D34" s="108"/>
      <c r="E34" s="108">
        <v>0</v>
      </c>
      <c r="F34" s="109">
        <v>0</v>
      </c>
      <c r="G34" s="110">
        <f t="shared" ref="G34" si="7">C34-E34</f>
        <v>0</v>
      </c>
      <c r="H34" s="110">
        <v>173.01</v>
      </c>
      <c r="I34" s="110">
        <v>103243.35</v>
      </c>
      <c r="J34" s="110">
        <f>103243.35+173.01</f>
        <v>103416.36</v>
      </c>
      <c r="K34" s="56">
        <f t="shared" si="2"/>
        <v>0</v>
      </c>
      <c r="L34" s="73">
        <f t="shared" si="3"/>
        <v>0</v>
      </c>
      <c r="M34" s="56">
        <f t="shared" si="4"/>
        <v>0</v>
      </c>
      <c r="N34" s="60">
        <v>0</v>
      </c>
    </row>
    <row r="35" spans="1:18" ht="15.75" customHeight="1" x14ac:dyDescent="0.25">
      <c r="A35" s="59" t="s">
        <v>68</v>
      </c>
      <c r="B35" s="58">
        <f>SUM(B19:B34)</f>
        <v>57761353.890000001</v>
      </c>
      <c r="C35" s="58">
        <f>SUM(C19:C34)</f>
        <v>25532312.629999999</v>
      </c>
      <c r="D35" s="58">
        <f>SUM(D19:D34)</f>
        <v>0</v>
      </c>
      <c r="E35" s="58">
        <f>SUM(E19:E34)</f>
        <v>18497785.140000001</v>
      </c>
      <c r="F35" s="57"/>
      <c r="G35" s="56">
        <f t="shared" ref="G35:M35" si="8">SUM(G19:G34)</f>
        <v>7034527.4899999993</v>
      </c>
      <c r="H35" s="56">
        <f>SUM(H19:H34)</f>
        <v>7302395.1800000006</v>
      </c>
      <c r="I35" s="56">
        <f t="shared" si="8"/>
        <v>103243.35</v>
      </c>
      <c r="J35" s="56">
        <f t="shared" si="8"/>
        <v>371111.04</v>
      </c>
      <c r="K35" s="56">
        <f t="shared" si="8"/>
        <v>7034527.4900000012</v>
      </c>
      <c r="L35" s="56">
        <f t="shared" si="8"/>
        <v>-1.0186340659856796E-9</v>
      </c>
      <c r="M35" s="56">
        <f t="shared" si="8"/>
        <v>-1.0186340659856796E-9</v>
      </c>
      <c r="N35" s="60">
        <v>0</v>
      </c>
    </row>
    <row r="36" spans="1:18" ht="15.75" customHeight="1" x14ac:dyDescent="0.25">
      <c r="A36" s="153"/>
      <c r="B36" s="154"/>
      <c r="C36" s="154"/>
      <c r="D36" s="154"/>
      <c r="E36" s="154"/>
      <c r="F36" s="155"/>
      <c r="G36" s="55"/>
      <c r="H36" s="55"/>
      <c r="I36" s="55"/>
      <c r="J36" s="55"/>
      <c r="K36" s="55"/>
      <c r="L36" s="55"/>
      <c r="M36" s="55"/>
      <c r="N36" s="55"/>
    </row>
    <row r="37" spans="1:18" ht="15.75" customHeight="1" x14ac:dyDescent="0.25">
      <c r="A37" s="153"/>
      <c r="B37" s="154"/>
      <c r="C37" s="154"/>
      <c r="D37" s="154"/>
      <c r="E37" s="154"/>
      <c r="F37" s="155"/>
      <c r="G37" s="55"/>
      <c r="H37" s="55"/>
      <c r="I37" s="55"/>
      <c r="J37" s="55"/>
      <c r="K37" s="55"/>
      <c r="L37" s="55"/>
      <c r="M37" s="55"/>
      <c r="N37" s="55"/>
    </row>
    <row r="38" spans="1:18" ht="15.75" customHeight="1" x14ac:dyDescent="0.25">
      <c r="A38" s="153"/>
      <c r="B38" s="154"/>
      <c r="C38" s="154"/>
      <c r="D38" s="154"/>
      <c r="E38" s="154"/>
      <c r="F38" s="155"/>
      <c r="G38" s="55"/>
      <c r="H38" s="55"/>
      <c r="I38" s="55"/>
      <c r="J38" s="55"/>
      <c r="K38" s="55"/>
      <c r="L38" s="55"/>
      <c r="M38" s="55"/>
      <c r="N38" s="55"/>
    </row>
    <row r="39" spans="1:18" ht="15.75" customHeight="1" x14ac:dyDescent="0.25">
      <c r="A39" s="353" t="s">
        <v>97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55"/>
      <c r="N39" s="54"/>
    </row>
    <row r="40" spans="1:18" ht="15.75" customHeight="1" x14ac:dyDescent="0.25">
      <c r="A40" s="353"/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55"/>
      <c r="N40" s="54"/>
    </row>
    <row r="41" spans="1:18" ht="24.75" customHeight="1" x14ac:dyDescent="0.25">
      <c r="A41" s="353"/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55"/>
      <c r="N41" s="54"/>
    </row>
    <row r="42" spans="1:18" ht="15.75" customHeight="1" x14ac:dyDescent="0.2">
      <c r="C42" s="374"/>
      <c r="D42" s="374"/>
      <c r="E42" s="374"/>
      <c r="F42" s="374"/>
      <c r="G42" s="374"/>
      <c r="H42" s="374"/>
      <c r="I42" s="374"/>
      <c r="J42" s="52"/>
      <c r="K42" s="53"/>
      <c r="L42" s="52"/>
      <c r="M42" s="53"/>
      <c r="N42" s="52"/>
      <c r="O42" s="52"/>
      <c r="P42" s="52"/>
      <c r="Q42" s="52"/>
      <c r="R42" s="52"/>
    </row>
    <row r="43" spans="1:18" ht="15.75" hidden="1" customHeight="1" x14ac:dyDescent="0.25">
      <c r="B43" s="354" t="s">
        <v>16</v>
      </c>
      <c r="C43" s="354"/>
      <c r="D43" s="355" t="s">
        <v>17</v>
      </c>
      <c r="E43" s="356"/>
      <c r="F43" s="357"/>
      <c r="G43" s="358" t="s">
        <v>18</v>
      </c>
      <c r="H43" s="358"/>
      <c r="I43" s="160" t="s">
        <v>8</v>
      </c>
      <c r="J43" s="48"/>
      <c r="K43" s="48"/>
      <c r="M43" s="48"/>
    </row>
    <row r="44" spans="1:18" ht="15.75" hidden="1" customHeight="1" x14ac:dyDescent="0.25">
      <c r="B44" s="359" t="s">
        <v>19</v>
      </c>
      <c r="C44" s="359"/>
      <c r="D44" s="355"/>
      <c r="E44" s="356"/>
      <c r="F44" s="357"/>
      <c r="G44" s="360"/>
      <c r="H44" s="360"/>
      <c r="I44" s="44"/>
      <c r="J44" s="48"/>
      <c r="K44" s="45"/>
      <c r="M44" s="47"/>
    </row>
    <row r="45" spans="1:18" ht="15.75" hidden="1" customHeight="1" x14ac:dyDescent="0.25">
      <c r="B45" s="358" t="s">
        <v>20</v>
      </c>
      <c r="C45" s="358"/>
      <c r="D45" s="361"/>
      <c r="E45" s="362"/>
      <c r="F45" s="363"/>
      <c r="G45" s="364"/>
      <c r="H45" s="364"/>
      <c r="I45" s="44" t="e">
        <f>G45/D45</f>
        <v>#DIV/0!</v>
      </c>
      <c r="J45" s="48"/>
      <c r="K45" s="47"/>
    </row>
    <row r="46" spans="1:18" ht="15.75" hidden="1" customHeight="1" x14ac:dyDescent="0.25">
      <c r="B46" s="358" t="s">
        <v>21</v>
      </c>
      <c r="C46" s="358"/>
      <c r="D46" s="361"/>
      <c r="E46" s="362"/>
      <c r="F46" s="363"/>
      <c r="G46" s="364"/>
      <c r="H46" s="364"/>
      <c r="I46" s="44" t="e">
        <f>G46/D46</f>
        <v>#DIV/0!</v>
      </c>
      <c r="J46" s="46"/>
      <c r="K46" s="45"/>
    </row>
    <row r="47" spans="1:18" ht="15.75" hidden="1" customHeight="1" x14ac:dyDescent="0.25">
      <c r="B47" s="358" t="s">
        <v>22</v>
      </c>
      <c r="C47" s="358"/>
      <c r="D47" s="361"/>
      <c r="E47" s="362"/>
      <c r="F47" s="363"/>
      <c r="G47" s="364"/>
      <c r="H47" s="364"/>
      <c r="I47" s="44" t="e">
        <f>G47/D47</f>
        <v>#DIV/0!</v>
      </c>
    </row>
    <row r="48" spans="1:18" ht="15.75" customHeight="1" x14ac:dyDescent="0.25">
      <c r="B48" s="42"/>
      <c r="C48" s="43"/>
      <c r="D48" s="42"/>
      <c r="E48" s="42"/>
      <c r="F48" s="42"/>
      <c r="G48" s="41"/>
      <c r="H48" s="41"/>
      <c r="I48" s="40"/>
      <c r="L48" s="45"/>
    </row>
    <row r="49" spans="1:14" s="38" customFormat="1" x14ac:dyDescent="0.25">
      <c r="A49" s="387" t="s">
        <v>23</v>
      </c>
      <c r="B49" s="387"/>
      <c r="C49" s="387"/>
      <c r="D49" s="387"/>
      <c r="E49" s="388" t="s">
        <v>24</v>
      </c>
      <c r="F49" s="388"/>
      <c r="G49" s="388"/>
      <c r="H49" s="388"/>
      <c r="I49" s="388"/>
      <c r="J49" s="188"/>
      <c r="K49" s="189" t="s">
        <v>25</v>
      </c>
      <c r="L49" s="189" t="s">
        <v>113</v>
      </c>
      <c r="M49" s="189"/>
      <c r="N49" s="189"/>
    </row>
    <row r="50" spans="1:14" s="29" customFormat="1" x14ac:dyDescent="0.25">
      <c r="A50" s="198"/>
      <c r="B50" s="198"/>
      <c r="C50" s="191"/>
      <c r="D50" s="192"/>
      <c r="E50" s="193"/>
      <c r="F50" s="194"/>
      <c r="G50" s="194"/>
      <c r="H50" s="194"/>
      <c r="I50" s="195"/>
      <c r="J50" s="196"/>
      <c r="K50" s="197"/>
      <c r="L50" s="197"/>
      <c r="M50" s="197"/>
      <c r="N50" s="194"/>
    </row>
    <row r="51" spans="1:14" s="29" customFormat="1" x14ac:dyDescent="0.25">
      <c r="A51" s="198"/>
      <c r="B51" s="198"/>
      <c r="C51" s="191"/>
      <c r="D51" s="192"/>
      <c r="E51" s="193"/>
      <c r="F51" s="194"/>
      <c r="G51" s="194"/>
      <c r="H51" s="194"/>
      <c r="I51" s="195"/>
      <c r="J51" s="196"/>
      <c r="K51" s="197"/>
      <c r="L51" s="197"/>
      <c r="M51" s="197"/>
      <c r="N51" s="194"/>
    </row>
    <row r="52" spans="1:14" s="29" customFormat="1" ht="26.25" customHeight="1" x14ac:dyDescent="0.25">
      <c r="A52" s="385" t="s">
        <v>98</v>
      </c>
      <c r="B52" s="385"/>
      <c r="C52" s="385"/>
      <c r="D52" s="385"/>
      <c r="E52" s="386" t="s">
        <v>100</v>
      </c>
      <c r="F52" s="386"/>
      <c r="G52" s="386"/>
      <c r="H52" s="386"/>
      <c r="I52" s="386"/>
      <c r="J52" s="199" t="s">
        <v>99</v>
      </c>
      <c r="K52" s="200"/>
      <c r="L52" s="200"/>
      <c r="M52" s="200"/>
      <c r="N52" s="200"/>
    </row>
    <row r="53" spans="1:14" s="23" customFormat="1" ht="15.75" customHeight="1" x14ac:dyDescent="0.3">
      <c r="A53" s="370" t="s">
        <v>66</v>
      </c>
      <c r="B53" s="370"/>
      <c r="C53" s="370"/>
      <c r="D53" s="370"/>
      <c r="E53" s="203"/>
      <c r="F53" s="371" t="s">
        <v>65</v>
      </c>
      <c r="G53" s="371"/>
      <c r="H53" s="371"/>
      <c r="I53" s="121"/>
      <c r="J53" s="371" t="s">
        <v>95</v>
      </c>
      <c r="K53" s="371"/>
      <c r="L53" s="371"/>
      <c r="M53" s="162"/>
      <c r="N53" s="204"/>
    </row>
    <row r="54" spans="1:14" s="23" customFormat="1" ht="15.75" customHeight="1" x14ac:dyDescent="0.3">
      <c r="A54" s="201"/>
      <c r="B54" s="389" t="s">
        <v>107</v>
      </c>
      <c r="C54" s="389"/>
      <c r="D54" s="203"/>
      <c r="E54" s="204"/>
      <c r="F54" s="390" t="s">
        <v>111</v>
      </c>
      <c r="G54" s="390"/>
      <c r="H54" s="390"/>
      <c r="I54" s="390"/>
      <c r="J54" s="389" t="s">
        <v>110</v>
      </c>
      <c r="K54" s="389"/>
      <c r="L54" s="203"/>
      <c r="M54" s="203"/>
      <c r="N54" s="204"/>
    </row>
    <row r="55" spans="1:14" ht="15.75" customHeight="1" x14ac:dyDescent="0.2">
      <c r="A55" s="5"/>
      <c r="B55" s="17"/>
      <c r="C55" s="17"/>
      <c r="D55" s="17"/>
      <c r="G55" s="17"/>
      <c r="H55" s="17"/>
      <c r="J55" s="17"/>
      <c r="K55" s="17"/>
      <c r="L55" s="17"/>
      <c r="M55" s="17"/>
    </row>
    <row r="56" spans="1:14" ht="15.75" customHeight="1" x14ac:dyDescent="0.2"/>
    <row r="57" spans="1:14" ht="15.75" customHeight="1" x14ac:dyDescent="0.2">
      <c r="A57" s="22" t="s">
        <v>64</v>
      </c>
    </row>
    <row r="58" spans="1:14" ht="15.75" customHeight="1" x14ac:dyDescent="0.2">
      <c r="A58" s="22"/>
    </row>
    <row r="59" spans="1:14" ht="15.75" customHeight="1" x14ac:dyDescent="0.2">
      <c r="A59" s="22"/>
    </row>
    <row r="60" spans="1:14" ht="15.75" customHeight="1" x14ac:dyDescent="0.25">
      <c r="A60" s="346" t="s">
        <v>0</v>
      </c>
      <c r="B60" s="346"/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</row>
    <row r="61" spans="1:14" ht="15.75" customHeight="1" x14ac:dyDescent="0.2">
      <c r="B61" s="21"/>
      <c r="C61" s="21"/>
      <c r="D61" s="21"/>
      <c r="E61" s="21"/>
      <c r="F61" s="21"/>
      <c r="G61" s="21"/>
      <c r="H61" s="21"/>
    </row>
    <row r="62" spans="1:14" s="19" customFormat="1" ht="15.75" customHeight="1" x14ac:dyDescent="0.25">
      <c r="A62" s="321" t="s">
        <v>63</v>
      </c>
      <c r="B62" s="321"/>
      <c r="C62" s="321"/>
      <c r="D62" s="156"/>
      <c r="E62" s="321" t="s">
        <v>62</v>
      </c>
      <c r="F62" s="321"/>
      <c r="G62" s="321"/>
      <c r="H62" s="321"/>
      <c r="I62" s="321"/>
      <c r="J62" s="321"/>
      <c r="K62" s="321"/>
      <c r="L62" s="321"/>
      <c r="M62" s="321"/>
      <c r="N62" s="321"/>
    </row>
    <row r="63" spans="1:14" ht="15.75" customHeight="1" x14ac:dyDescent="0.2">
      <c r="A63" s="17"/>
      <c r="B63" s="17"/>
      <c r="C63" s="18"/>
      <c r="D63" s="18"/>
      <c r="F63" s="17"/>
      <c r="G63" s="17"/>
      <c r="H63" s="17"/>
    </row>
    <row r="64" spans="1:14" ht="15.75" customHeight="1" x14ac:dyDescent="0.2">
      <c r="A64" s="16" t="s">
        <v>61</v>
      </c>
      <c r="B64" s="14"/>
      <c r="C64" s="14"/>
      <c r="D64" s="14"/>
      <c r="E64" s="347" t="s">
        <v>60</v>
      </c>
      <c r="F64" s="347"/>
      <c r="G64" s="347"/>
      <c r="H64" s="347"/>
      <c r="I64" s="347"/>
    </row>
    <row r="65" spans="1:14" ht="5.0999999999999996" customHeight="1" x14ac:dyDescent="0.2">
      <c r="A65" s="159"/>
      <c r="B65" s="159"/>
      <c r="C65" s="159"/>
      <c r="D65" s="159"/>
      <c r="E65" s="159"/>
      <c r="F65" s="10"/>
      <c r="G65" s="10"/>
    </row>
    <row r="66" spans="1:14" ht="15.75" customHeight="1" x14ac:dyDescent="0.25">
      <c r="A66" s="348" t="s">
        <v>59</v>
      </c>
      <c r="B66" s="348"/>
      <c r="C66" s="14"/>
      <c r="D66" s="14"/>
      <c r="E66" s="347" t="s">
        <v>58</v>
      </c>
      <c r="F66" s="347"/>
      <c r="G66" s="347"/>
      <c r="H66" s="347"/>
      <c r="I66" s="347"/>
      <c r="J66" s="13"/>
      <c r="K66" s="13"/>
      <c r="L66" s="13"/>
      <c r="M66" s="13"/>
      <c r="N66" s="13"/>
    </row>
    <row r="67" spans="1:14" ht="5.0999999999999996" customHeight="1" x14ac:dyDescent="0.2">
      <c r="A67" s="5"/>
      <c r="B67" s="5"/>
    </row>
    <row r="68" spans="1:14" ht="15.75" customHeight="1" x14ac:dyDescent="0.25">
      <c r="A68" s="3" t="s">
        <v>57</v>
      </c>
      <c r="B68" s="3"/>
      <c r="E68" s="2" t="s">
        <v>56</v>
      </c>
    </row>
    <row r="69" spans="1:14" ht="5.0999999999999996" customHeight="1" x14ac:dyDescent="0.2">
      <c r="A69" s="5"/>
      <c r="B69" s="5"/>
    </row>
    <row r="70" spans="1:14" ht="47.25" customHeight="1" x14ac:dyDescent="0.25">
      <c r="A70" s="11" t="s">
        <v>55</v>
      </c>
      <c r="B70" s="3"/>
      <c r="E70" s="349" t="s">
        <v>54</v>
      </c>
      <c r="F70" s="349"/>
      <c r="G70" s="349"/>
      <c r="H70" s="349"/>
      <c r="I70" s="349"/>
      <c r="J70" s="349"/>
      <c r="K70" s="349"/>
      <c r="L70" s="349"/>
      <c r="M70" s="349"/>
      <c r="N70" s="349"/>
    </row>
    <row r="71" spans="1:14" ht="5.0999999999999996" customHeight="1" x14ac:dyDescent="0.2">
      <c r="A71" s="5"/>
      <c r="B71" s="5"/>
      <c r="E71" s="12"/>
    </row>
    <row r="72" spans="1:14" ht="47.25" customHeight="1" x14ac:dyDescent="0.25">
      <c r="A72" s="11" t="s">
        <v>53</v>
      </c>
      <c r="B72" s="3"/>
      <c r="E72" s="350" t="s">
        <v>52</v>
      </c>
      <c r="F72" s="350"/>
      <c r="G72" s="350"/>
      <c r="H72" s="350"/>
      <c r="I72" s="350"/>
      <c r="J72" s="350"/>
      <c r="K72" s="350"/>
      <c r="L72" s="350"/>
      <c r="M72" s="350"/>
      <c r="N72" s="350"/>
    </row>
    <row r="73" spans="1:14" ht="5.0999999999999996" customHeight="1" x14ac:dyDescent="0.25">
      <c r="A73" s="5"/>
      <c r="B73" s="5"/>
      <c r="E73" s="2"/>
    </row>
    <row r="74" spans="1:14" ht="49.5" customHeight="1" x14ac:dyDescent="0.25">
      <c r="A74" s="11" t="s">
        <v>6</v>
      </c>
      <c r="B74" s="3"/>
      <c r="E74" s="351" t="s">
        <v>51</v>
      </c>
      <c r="F74" s="351"/>
      <c r="G74" s="351"/>
      <c r="H74" s="351"/>
      <c r="I74" s="351"/>
      <c r="J74" s="351"/>
      <c r="K74" s="351"/>
      <c r="L74" s="351"/>
      <c r="M74" s="351"/>
      <c r="N74" s="351"/>
    </row>
    <row r="75" spans="1:14" ht="5.0999999999999996" customHeight="1" x14ac:dyDescent="0.25">
      <c r="A75" s="5"/>
      <c r="B75" s="5"/>
      <c r="E75" s="2"/>
    </row>
    <row r="76" spans="1:14" ht="49.5" customHeight="1" x14ac:dyDescent="0.25">
      <c r="A76" s="11" t="s">
        <v>50</v>
      </c>
      <c r="B76" s="3"/>
      <c r="E76" s="351" t="s">
        <v>49</v>
      </c>
      <c r="F76" s="351"/>
      <c r="G76" s="351"/>
      <c r="H76" s="351"/>
      <c r="I76" s="351"/>
      <c r="J76" s="351"/>
      <c r="K76" s="351"/>
      <c r="L76" s="351"/>
      <c r="M76" s="351"/>
      <c r="N76" s="351"/>
    </row>
    <row r="77" spans="1:14" ht="5.0999999999999996" customHeight="1" x14ac:dyDescent="0.2">
      <c r="A77" s="10"/>
      <c r="B77" s="10"/>
    </row>
    <row r="78" spans="1:14" ht="30.75" customHeight="1" x14ac:dyDescent="0.25">
      <c r="A78" s="9" t="s">
        <v>8</v>
      </c>
      <c r="B78" s="3"/>
      <c r="E78" s="349" t="s">
        <v>48</v>
      </c>
      <c r="F78" s="352"/>
      <c r="G78" s="352"/>
      <c r="H78" s="352"/>
      <c r="I78" s="352"/>
      <c r="J78" s="352"/>
      <c r="K78" s="352"/>
      <c r="L78" s="352"/>
      <c r="M78" s="352"/>
      <c r="N78" s="352"/>
    </row>
    <row r="79" spans="1:14" ht="5.0999999999999996" customHeight="1" x14ac:dyDescent="0.2">
      <c r="A79" s="5"/>
      <c r="B79" s="5"/>
    </row>
    <row r="80" spans="1:14" ht="15.75" customHeight="1" x14ac:dyDescent="0.25">
      <c r="A80" s="3" t="s">
        <v>47</v>
      </c>
      <c r="B80" s="3"/>
      <c r="E80" s="2" t="s">
        <v>46</v>
      </c>
    </row>
    <row r="81" spans="1:14" ht="5.0999999999999996" customHeight="1" x14ac:dyDescent="0.2">
      <c r="A81" s="5"/>
      <c r="B81" s="5"/>
    </row>
    <row r="82" spans="1:14" ht="15.75" customHeight="1" x14ac:dyDescent="0.25">
      <c r="A82" s="8" t="s">
        <v>45</v>
      </c>
      <c r="B82" s="3"/>
      <c r="E82" s="7" t="s">
        <v>44</v>
      </c>
    </row>
    <row r="83" spans="1:14" ht="5.0999999999999996" customHeight="1" x14ac:dyDescent="0.2">
      <c r="A83" s="5"/>
      <c r="B83" s="5"/>
    </row>
    <row r="84" spans="1:14" ht="15.75" customHeight="1" x14ac:dyDescent="0.25">
      <c r="A84" s="3" t="s">
        <v>43</v>
      </c>
      <c r="B84" s="3"/>
      <c r="E84" s="2" t="s">
        <v>42</v>
      </c>
    </row>
    <row r="85" spans="1:14" ht="5.0999999999999996" customHeight="1" x14ac:dyDescent="0.2">
      <c r="A85" s="5"/>
      <c r="B85" s="5"/>
    </row>
    <row r="86" spans="1:14" ht="15.75" customHeight="1" x14ac:dyDescent="0.25">
      <c r="A86" s="3" t="s">
        <v>41</v>
      </c>
      <c r="B86" s="3"/>
      <c r="E86" s="2" t="s">
        <v>40</v>
      </c>
    </row>
    <row r="87" spans="1:14" ht="5.0999999999999996" customHeight="1" x14ac:dyDescent="0.25">
      <c r="A87" s="3"/>
      <c r="B87" s="3"/>
      <c r="E87" s="2"/>
    </row>
    <row r="88" spans="1:14" ht="15.75" customHeight="1" x14ac:dyDescent="0.25">
      <c r="A88" s="8" t="s">
        <v>39</v>
      </c>
      <c r="B88" s="3"/>
      <c r="E88" s="7" t="s">
        <v>38</v>
      </c>
    </row>
    <row r="89" spans="1:14" ht="5.0999999999999996" customHeight="1" x14ac:dyDescent="0.2">
      <c r="A89" s="5"/>
      <c r="B89" s="5"/>
    </row>
    <row r="90" spans="1:14" ht="37.5" customHeight="1" x14ac:dyDescent="0.25">
      <c r="A90" s="6" t="s">
        <v>37</v>
      </c>
      <c r="B90" s="3"/>
      <c r="E90" s="344" t="s">
        <v>36</v>
      </c>
      <c r="F90" s="345"/>
      <c r="G90" s="345"/>
      <c r="H90" s="345"/>
      <c r="I90" s="345"/>
      <c r="J90" s="345"/>
      <c r="K90" s="345"/>
      <c r="L90" s="345"/>
      <c r="M90" s="345"/>
      <c r="N90" s="345"/>
    </row>
    <row r="91" spans="1:14" ht="5.0999999999999996" customHeight="1" x14ac:dyDescent="0.2">
      <c r="A91" s="5"/>
      <c r="B91" s="5"/>
    </row>
    <row r="92" spans="1:14" ht="15.75" customHeight="1" x14ac:dyDescent="0.25">
      <c r="A92" s="3" t="s">
        <v>35</v>
      </c>
      <c r="B92" s="3"/>
      <c r="E92" s="2" t="s">
        <v>34</v>
      </c>
    </row>
    <row r="93" spans="1:14" ht="5.0999999999999996" customHeight="1" x14ac:dyDescent="0.2">
      <c r="A93" s="5"/>
      <c r="B93" s="5"/>
    </row>
    <row r="94" spans="1:14" ht="15.75" customHeight="1" x14ac:dyDescent="0.25">
      <c r="A94" s="3" t="s">
        <v>33</v>
      </c>
      <c r="B94" s="3"/>
      <c r="E94" s="2" t="s">
        <v>32</v>
      </c>
    </row>
    <row r="95" spans="1:14" ht="5.0999999999999996" customHeight="1" x14ac:dyDescent="0.2">
      <c r="A95" s="5"/>
      <c r="B95" s="5"/>
    </row>
    <row r="96" spans="1:14" ht="15.75" customHeight="1" x14ac:dyDescent="0.25">
      <c r="A96" s="3" t="s">
        <v>31</v>
      </c>
      <c r="B96" s="3"/>
      <c r="E96" s="2" t="s">
        <v>30</v>
      </c>
    </row>
    <row r="97" spans="1:5" ht="5.0999999999999996" customHeight="1" x14ac:dyDescent="0.2">
      <c r="A97" s="5"/>
      <c r="B97" s="5"/>
    </row>
    <row r="98" spans="1:5" ht="15.75" customHeight="1" x14ac:dyDescent="0.25">
      <c r="A98" s="3" t="s">
        <v>29</v>
      </c>
      <c r="B98" s="3"/>
      <c r="E98" s="2" t="s">
        <v>28</v>
      </c>
    </row>
    <row r="99" spans="1:5" ht="5.0999999999999996" customHeight="1" x14ac:dyDescent="0.2">
      <c r="A99" s="5"/>
      <c r="B99" s="5"/>
    </row>
    <row r="100" spans="1:5" ht="15.75" customHeight="1" x14ac:dyDescent="0.25">
      <c r="A100" s="4" t="s">
        <v>14</v>
      </c>
      <c r="B100" s="3"/>
      <c r="E100" s="2" t="s">
        <v>27</v>
      </c>
    </row>
  </sheetData>
  <mergeCells count="55">
    <mergeCell ref="C12:C13"/>
    <mergeCell ref="D12:D13"/>
    <mergeCell ref="E12:E13"/>
    <mergeCell ref="A4:N4"/>
    <mergeCell ref="A6:N6"/>
    <mergeCell ref="D7:I7"/>
    <mergeCell ref="C11:G11"/>
    <mergeCell ref="H11:K11"/>
    <mergeCell ref="B44:C44"/>
    <mergeCell ref="D44:F44"/>
    <mergeCell ref="G44:H44"/>
    <mergeCell ref="F12:F13"/>
    <mergeCell ref="G12:G13"/>
    <mergeCell ref="H12:H13"/>
    <mergeCell ref="A39:L41"/>
    <mergeCell ref="C42:I42"/>
    <mergeCell ref="B43:C43"/>
    <mergeCell ref="D43:F43"/>
    <mergeCell ref="G43:H43"/>
    <mergeCell ref="I12:I13"/>
    <mergeCell ref="J12:J13"/>
    <mergeCell ref="K12:K13"/>
    <mergeCell ref="A12:A13"/>
    <mergeCell ref="B12:B13"/>
    <mergeCell ref="A52:D52"/>
    <mergeCell ref="E52:I52"/>
    <mergeCell ref="B45:C45"/>
    <mergeCell ref="D45:F45"/>
    <mergeCell ref="G45:H45"/>
    <mergeCell ref="B46:C46"/>
    <mergeCell ref="D46:F46"/>
    <mergeCell ref="G46:H46"/>
    <mergeCell ref="B47:C47"/>
    <mergeCell ref="D47:F47"/>
    <mergeCell ref="G47:H47"/>
    <mergeCell ref="A49:D49"/>
    <mergeCell ref="E49:I49"/>
    <mergeCell ref="A53:D53"/>
    <mergeCell ref="F53:H53"/>
    <mergeCell ref="J53:L53"/>
    <mergeCell ref="B54:C54"/>
    <mergeCell ref="F54:I54"/>
    <mergeCell ref="J54:K54"/>
    <mergeCell ref="E90:N90"/>
    <mergeCell ref="A60:N60"/>
    <mergeCell ref="A62:C62"/>
    <mergeCell ref="E62:N62"/>
    <mergeCell ref="E64:I64"/>
    <mergeCell ref="A66:B66"/>
    <mergeCell ref="E66:I66"/>
    <mergeCell ref="E70:N70"/>
    <mergeCell ref="E72:N72"/>
    <mergeCell ref="E74:N74"/>
    <mergeCell ref="E76:N76"/>
    <mergeCell ref="E78:N78"/>
  </mergeCells>
  <pageMargins left="0.62992125984251968" right="0.62992125984251968" top="0.39370078740157483" bottom="0.23622047244094491" header="0" footer="0"/>
  <pageSetup scale="69" orientation="landscape" r:id="rId1"/>
  <headerFooter alignWithMargins="0">
    <oddFooter>&amp;R</oddFooter>
  </headerFooter>
  <rowBreaks count="1" manualBreakCount="1">
    <brk id="5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4:S100"/>
  <sheetViews>
    <sheetView showGridLines="0" zoomScale="130" zoomScaleNormal="130" zoomScaleSheetLayoutView="100" workbookViewId="0">
      <selection activeCell="C20" sqref="C20"/>
    </sheetView>
  </sheetViews>
  <sheetFormatPr baseColWidth="10" defaultRowHeight="12.75" x14ac:dyDescent="0.2"/>
  <cols>
    <col min="1" max="1" width="24.2851562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156"/>
      <c r="B7" s="156"/>
      <c r="C7" s="156"/>
      <c r="D7" s="321" t="s">
        <v>117</v>
      </c>
      <c r="E7" s="321"/>
      <c r="F7" s="321"/>
      <c r="G7" s="321"/>
      <c r="H7" s="321"/>
      <c r="I7" s="321"/>
      <c r="J7" s="156"/>
      <c r="K7" s="156"/>
      <c r="L7" s="156"/>
      <c r="M7" s="156"/>
      <c r="N7" s="156"/>
    </row>
    <row r="8" spans="1:14" ht="15.75" customHeight="1" x14ac:dyDescent="0.25">
      <c r="A8" s="85"/>
      <c r="B8" s="84"/>
      <c r="C8" s="84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5.75" hidden="1" customHeight="1" x14ac:dyDescent="0.25">
      <c r="A9" s="85" t="s">
        <v>1</v>
      </c>
      <c r="B9" s="84"/>
      <c r="C9" s="84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15.75" customHeight="1" x14ac:dyDescent="0.2">
      <c r="B10" s="5"/>
      <c r="C10" s="83"/>
      <c r="D10" s="5"/>
      <c r="E10" s="15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158"/>
      <c r="M12" s="158"/>
      <c r="N12" s="157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158"/>
      <c r="M13" s="158"/>
      <c r="N13" s="79" t="s">
        <v>15</v>
      </c>
    </row>
    <row r="14" spans="1:14" ht="15.75" customHeight="1" x14ac:dyDescent="0.25">
      <c r="A14" s="77" t="s">
        <v>81</v>
      </c>
      <c r="B14" s="78"/>
      <c r="C14" s="73">
        <v>3673431.8</v>
      </c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73">
        <v>0</v>
      </c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73">
        <v>2945664.32</v>
      </c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73">
        <v>1482003.77</v>
      </c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73">
        <v>0</v>
      </c>
      <c r="D18" s="58"/>
      <c r="F18" s="60"/>
      <c r="G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>
        <v>13131151.18</v>
      </c>
      <c r="C19" s="73">
        <f>SUM(C14:C18)</f>
        <v>8101099.8899999987</v>
      </c>
      <c r="D19" s="58"/>
      <c r="E19" s="58">
        <v>6383413.29</v>
      </c>
      <c r="F19" s="73"/>
      <c r="G19" s="56">
        <f>+C19+D19-E19</f>
        <v>1717686.5999999987</v>
      </c>
      <c r="H19" s="56">
        <f>1209618.12+518626.97</f>
        <v>1728245.09</v>
      </c>
      <c r="I19" s="56">
        <v>0</v>
      </c>
      <c r="J19" s="56">
        <f>0.4+9937+1168.12+1246</f>
        <v>12351.52</v>
      </c>
      <c r="K19" s="56">
        <f t="shared" ref="K19:K34" si="0">+H19+I19-J19</f>
        <v>1715893.57</v>
      </c>
      <c r="L19" s="73">
        <f t="shared" ref="L19:L34" si="1">+G19-K19</f>
        <v>1793.029999998631</v>
      </c>
      <c r="M19" s="73">
        <f t="shared" ref="M19:M34" si="2">G19-K19</f>
        <v>1793.029999998631</v>
      </c>
      <c r="N19" s="72"/>
      <c r="O19" s="68"/>
    </row>
    <row r="20" spans="1:19" ht="15.75" customHeight="1" x14ac:dyDescent="0.25">
      <c r="A20" s="62" t="s">
        <v>75</v>
      </c>
      <c r="B20" s="61">
        <v>16873510</v>
      </c>
      <c r="C20" s="61">
        <v>7178607.5800000001</v>
      </c>
      <c r="D20" s="58"/>
      <c r="E20" s="58">
        <v>4962568.7300000004</v>
      </c>
      <c r="F20" s="60">
        <f t="shared" ref="F20:F30" si="3">E20/C20</f>
        <v>0.69129962526799671</v>
      </c>
      <c r="G20" s="56">
        <f t="shared" ref="G20:G33" si="4">+C20+D20-E20</f>
        <v>2216038.8499999996</v>
      </c>
      <c r="H20" s="56">
        <v>1807324.82</v>
      </c>
      <c r="I20" s="56">
        <v>0</v>
      </c>
      <c r="J20" s="56">
        <f>81572+740</f>
        <v>82312</v>
      </c>
      <c r="K20" s="56">
        <f t="shared" si="0"/>
        <v>1725012.82</v>
      </c>
      <c r="L20" s="73">
        <f>+G20-K20</f>
        <v>491026.02999999956</v>
      </c>
      <c r="M20" s="56">
        <f t="shared" si="2"/>
        <v>491026.02999999956</v>
      </c>
      <c r="N20" s="60">
        <f t="shared" ref="N20:N29" si="5">E20/B20</f>
        <v>0.29410411526706659</v>
      </c>
      <c r="O20" s="70"/>
      <c r="P20" s="71"/>
      <c r="Q20" s="48"/>
    </row>
    <row r="21" spans="1:19" ht="15.75" customHeight="1" x14ac:dyDescent="0.25">
      <c r="A21" s="62" t="s">
        <v>74</v>
      </c>
      <c r="B21" s="61">
        <v>7436006</v>
      </c>
      <c r="C21" s="61">
        <v>3792662.17</v>
      </c>
      <c r="D21" s="58"/>
      <c r="E21" s="58">
        <v>4018151.5</v>
      </c>
      <c r="F21" s="60">
        <f t="shared" si="3"/>
        <v>1.0594541037120635</v>
      </c>
      <c r="G21" s="56">
        <f t="shared" si="4"/>
        <v>-225489.33000000007</v>
      </c>
      <c r="H21" s="56">
        <v>57714.67</v>
      </c>
      <c r="I21" s="56">
        <v>0</v>
      </c>
      <c r="J21" s="56">
        <v>44237</v>
      </c>
      <c r="K21" s="56">
        <f t="shared" si="0"/>
        <v>13477.669999999998</v>
      </c>
      <c r="L21" s="73">
        <f t="shared" si="1"/>
        <v>-238967.00000000006</v>
      </c>
      <c r="M21" s="56">
        <f t="shared" si="2"/>
        <v>-238967.00000000006</v>
      </c>
      <c r="N21" s="60">
        <f t="shared" si="5"/>
        <v>0.54036420895841131</v>
      </c>
      <c r="O21" s="70"/>
      <c r="P21" s="69"/>
      <c r="Q21" s="45"/>
    </row>
    <row r="22" spans="1:19" ht="15.75" customHeight="1" x14ac:dyDescent="0.25">
      <c r="A22" s="62" t="s">
        <v>73</v>
      </c>
      <c r="B22" s="61">
        <v>281545</v>
      </c>
      <c r="C22" s="63">
        <v>134417.04</v>
      </c>
      <c r="D22" s="104"/>
      <c r="E22" s="58">
        <v>0</v>
      </c>
      <c r="F22" s="60">
        <f>E22/C22</f>
        <v>0</v>
      </c>
      <c r="G22" s="56">
        <f>+C22+D22-E22</f>
        <v>134417.04</v>
      </c>
      <c r="H22" s="56">
        <v>134417.04</v>
      </c>
      <c r="I22" s="56">
        <v>0</v>
      </c>
      <c r="J22" s="56">
        <v>0</v>
      </c>
      <c r="K22" s="56">
        <f t="shared" si="0"/>
        <v>134417.04</v>
      </c>
      <c r="L22" s="73">
        <f t="shared" si="1"/>
        <v>0</v>
      </c>
      <c r="M22" s="56">
        <f t="shared" si="2"/>
        <v>0</v>
      </c>
      <c r="N22" s="60">
        <f t="shared" si="5"/>
        <v>0</v>
      </c>
      <c r="O22" s="68"/>
    </row>
    <row r="23" spans="1:19" ht="15.75" customHeight="1" x14ac:dyDescent="0.25">
      <c r="A23" s="62" t="s">
        <v>86</v>
      </c>
      <c r="B23" s="61">
        <v>824025</v>
      </c>
      <c r="C23" s="61">
        <v>471484.8</v>
      </c>
      <c r="D23" s="58"/>
      <c r="E23" s="58">
        <v>357158.32</v>
      </c>
      <c r="F23" s="60">
        <f t="shared" ref="F23:F25" si="6">E23/C23</f>
        <v>0.75751820631333189</v>
      </c>
      <c r="G23" s="56">
        <f>+C23+D23-E23</f>
        <v>114326.47999999998</v>
      </c>
      <c r="H23" s="56">
        <v>114326.48</v>
      </c>
      <c r="I23" s="56">
        <v>0</v>
      </c>
      <c r="J23" s="56">
        <v>0</v>
      </c>
      <c r="K23" s="56">
        <f t="shared" si="0"/>
        <v>114326.48</v>
      </c>
      <c r="L23" s="73">
        <f t="shared" si="1"/>
        <v>0</v>
      </c>
      <c r="M23" s="56">
        <f t="shared" si="2"/>
        <v>0</v>
      </c>
      <c r="N23" s="60">
        <f t="shared" si="5"/>
        <v>0.43343141288189074</v>
      </c>
    </row>
    <row r="24" spans="1:19" ht="15.75" customHeight="1" x14ac:dyDescent="0.25">
      <c r="A24" s="62" t="s">
        <v>72</v>
      </c>
      <c r="B24" s="61">
        <v>600184</v>
      </c>
      <c r="C24" s="61">
        <v>207847.22</v>
      </c>
      <c r="D24" s="58"/>
      <c r="E24" s="58">
        <v>120932.52</v>
      </c>
      <c r="F24" s="60">
        <f t="shared" si="6"/>
        <v>0.58183371420604035</v>
      </c>
      <c r="G24" s="56">
        <f t="shared" si="4"/>
        <v>86914.7</v>
      </c>
      <c r="H24" s="56">
        <v>86914.7</v>
      </c>
      <c r="I24" s="56">
        <v>0</v>
      </c>
      <c r="J24" s="56">
        <v>0</v>
      </c>
      <c r="K24" s="56">
        <f t="shared" si="0"/>
        <v>86914.7</v>
      </c>
      <c r="L24" s="73">
        <f t="shared" si="1"/>
        <v>0</v>
      </c>
      <c r="M24" s="56">
        <f t="shared" si="2"/>
        <v>0</v>
      </c>
      <c r="N24" s="60">
        <f t="shared" si="5"/>
        <v>0.20149240899457502</v>
      </c>
    </row>
    <row r="25" spans="1:19" ht="15.75" customHeight="1" x14ac:dyDescent="0.25">
      <c r="A25" s="62" t="s">
        <v>93</v>
      </c>
      <c r="B25" s="61">
        <v>11851740</v>
      </c>
      <c r="C25" s="63">
        <v>5926058.9400000004</v>
      </c>
      <c r="D25" s="104"/>
      <c r="E25" s="104">
        <v>5023700.3099999996</v>
      </c>
      <c r="F25" s="60">
        <f t="shared" si="6"/>
        <v>0.84773039904999647</v>
      </c>
      <c r="G25" s="56">
        <f t="shared" si="4"/>
        <v>902358.63000000082</v>
      </c>
      <c r="H25" s="67">
        <v>1183526.1200000001</v>
      </c>
      <c r="I25" s="67">
        <v>0</v>
      </c>
      <c r="J25" s="67">
        <f>24762+3294-0.79-740+0.22</f>
        <v>27315.43</v>
      </c>
      <c r="K25" s="56">
        <f t="shared" si="0"/>
        <v>1156210.6900000002</v>
      </c>
      <c r="L25" s="73">
        <f t="shared" si="1"/>
        <v>-253852.05999999936</v>
      </c>
      <c r="M25" s="56">
        <f t="shared" si="2"/>
        <v>-253852.05999999936</v>
      </c>
      <c r="N25" s="66">
        <f t="shared" si="5"/>
        <v>0.42387871401161348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91</v>
      </c>
      <c r="B26" s="61">
        <v>3479677</v>
      </c>
      <c r="C26" s="58">
        <v>2088174.69</v>
      </c>
      <c r="D26" s="104"/>
      <c r="E26" s="58">
        <v>0</v>
      </c>
      <c r="F26" s="66">
        <f t="shared" si="3"/>
        <v>0</v>
      </c>
      <c r="G26" s="67">
        <f>+C26+D26-E26</f>
        <v>2088174.69</v>
      </c>
      <c r="H26" s="56">
        <v>2088174.69</v>
      </c>
      <c r="I26" s="56">
        <v>0</v>
      </c>
      <c r="J26" s="56">
        <v>0</v>
      </c>
      <c r="K26" s="56">
        <f t="shared" si="0"/>
        <v>2088174.69</v>
      </c>
      <c r="L26" s="73">
        <f t="shared" si="1"/>
        <v>0</v>
      </c>
      <c r="M26" s="56">
        <f t="shared" si="2"/>
        <v>0</v>
      </c>
      <c r="N26" s="60">
        <f t="shared" si="5"/>
        <v>0</v>
      </c>
      <c r="O26" s="64"/>
    </row>
    <row r="27" spans="1:19" ht="15.75" customHeight="1" x14ac:dyDescent="0.25">
      <c r="A27" s="62" t="s">
        <v>90</v>
      </c>
      <c r="B27" s="61"/>
      <c r="C27" s="58">
        <v>0</v>
      </c>
      <c r="D27" s="104"/>
      <c r="E27" s="58">
        <v>0</v>
      </c>
      <c r="F27" s="66">
        <v>0</v>
      </c>
      <c r="G27" s="67">
        <f>+C27+D27-E27</f>
        <v>0</v>
      </c>
      <c r="H27" s="56">
        <v>0</v>
      </c>
      <c r="I27" s="56">
        <v>0</v>
      </c>
      <c r="J27" s="56">
        <v>0</v>
      </c>
      <c r="K27" s="56">
        <f>+H27+I27-J27</f>
        <v>0</v>
      </c>
      <c r="L27" s="73">
        <f t="shared" si="1"/>
        <v>0</v>
      </c>
      <c r="M27" s="56">
        <f t="shared" si="2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63">
        <v>99465</v>
      </c>
      <c r="C28" s="61">
        <v>88885.81</v>
      </c>
      <c r="D28" s="58"/>
      <c r="E28" s="58">
        <v>65899.679999999993</v>
      </c>
      <c r="F28" s="60">
        <f t="shared" si="3"/>
        <v>0.7413970801413633</v>
      </c>
      <c r="G28" s="67">
        <f>+C28+D28-E28</f>
        <v>22986.130000000005</v>
      </c>
      <c r="H28" s="56">
        <v>22986.13</v>
      </c>
      <c r="I28" s="56">
        <v>0</v>
      </c>
      <c r="J28" s="56">
        <v>0</v>
      </c>
      <c r="K28" s="56">
        <f t="shared" si="0"/>
        <v>22986.13</v>
      </c>
      <c r="L28" s="73">
        <f t="shared" si="1"/>
        <v>0</v>
      </c>
      <c r="M28" s="56">
        <f t="shared" si="2"/>
        <v>0</v>
      </c>
      <c r="N28" s="60">
        <f t="shared" si="5"/>
        <v>0.66254139647112043</v>
      </c>
    </row>
    <row r="29" spans="1:19" ht="15.75" customHeight="1" x14ac:dyDescent="0.25">
      <c r="A29" s="62" t="s">
        <v>69</v>
      </c>
      <c r="B29" s="61">
        <v>29793</v>
      </c>
      <c r="C29" s="61">
        <v>14899.21</v>
      </c>
      <c r="D29" s="58"/>
      <c r="E29" s="58">
        <v>0</v>
      </c>
      <c r="F29" s="60">
        <f t="shared" si="3"/>
        <v>0</v>
      </c>
      <c r="G29" s="56">
        <f t="shared" si="4"/>
        <v>14899.21</v>
      </c>
      <c r="H29" s="56">
        <v>14899.21</v>
      </c>
      <c r="I29" s="56">
        <v>0</v>
      </c>
      <c r="J29" s="56">
        <v>0</v>
      </c>
      <c r="K29" s="56">
        <f t="shared" si="0"/>
        <v>14899.21</v>
      </c>
      <c r="L29" s="73">
        <f t="shared" si="1"/>
        <v>0</v>
      </c>
      <c r="M29" s="56">
        <f t="shared" si="2"/>
        <v>0</v>
      </c>
      <c r="N29" s="60">
        <f t="shared" si="5"/>
        <v>0</v>
      </c>
    </row>
    <row r="30" spans="1:19" ht="15.75" customHeight="1" x14ac:dyDescent="0.25">
      <c r="A30" s="62" t="s">
        <v>26</v>
      </c>
      <c r="B30" s="61">
        <v>68757.710000000006</v>
      </c>
      <c r="C30" s="112">
        <v>68771.59</v>
      </c>
      <c r="D30" s="58"/>
      <c r="E30" s="58">
        <v>0</v>
      </c>
      <c r="F30" s="60">
        <f t="shared" si="3"/>
        <v>0</v>
      </c>
      <c r="G30" s="56">
        <f t="shared" si="4"/>
        <v>68771.59</v>
      </c>
      <c r="H30" s="56">
        <v>68771.59</v>
      </c>
      <c r="I30" s="56">
        <v>0</v>
      </c>
      <c r="J30" s="56">
        <v>0</v>
      </c>
      <c r="K30" s="56">
        <f t="shared" si="0"/>
        <v>68771.59</v>
      </c>
      <c r="L30" s="73">
        <f t="shared" si="1"/>
        <v>0</v>
      </c>
      <c r="M30" s="56">
        <f t="shared" si="2"/>
        <v>0</v>
      </c>
      <c r="N30" s="60">
        <v>0</v>
      </c>
    </row>
    <row r="31" spans="1:19" ht="15.75" customHeight="1" x14ac:dyDescent="0.25">
      <c r="A31" s="62" t="s">
        <v>85</v>
      </c>
      <c r="B31" s="61"/>
      <c r="C31" s="61">
        <v>0</v>
      </c>
      <c r="D31" s="58"/>
      <c r="E31" s="58">
        <v>0</v>
      </c>
      <c r="F31" s="60">
        <v>0</v>
      </c>
      <c r="G31" s="56">
        <f t="shared" si="4"/>
        <v>0</v>
      </c>
      <c r="H31" s="56">
        <v>0</v>
      </c>
      <c r="I31" s="56">
        <v>0</v>
      </c>
      <c r="J31" s="56">
        <v>0</v>
      </c>
      <c r="K31" s="56">
        <f t="shared" si="0"/>
        <v>0</v>
      </c>
      <c r="L31" s="73">
        <f t="shared" si="1"/>
        <v>0</v>
      </c>
      <c r="M31" s="56">
        <f t="shared" si="2"/>
        <v>0</v>
      </c>
      <c r="N31" s="60">
        <v>0</v>
      </c>
    </row>
    <row r="32" spans="1:19" ht="15.75" customHeight="1" x14ac:dyDescent="0.25">
      <c r="A32" s="62" t="s">
        <v>84</v>
      </c>
      <c r="B32" s="61">
        <v>2885500</v>
      </c>
      <c r="C32" s="61">
        <v>1935406.86</v>
      </c>
      <c r="D32" s="58"/>
      <c r="E32" s="58">
        <v>1457449.63</v>
      </c>
      <c r="F32" s="60"/>
      <c r="G32" s="56">
        <f t="shared" si="4"/>
        <v>477957.23000000021</v>
      </c>
      <c r="H32" s="56">
        <f>477957.22+0.01</f>
        <v>477957.23</v>
      </c>
      <c r="I32" s="56"/>
      <c r="J32" s="56">
        <v>0</v>
      </c>
      <c r="K32" s="56">
        <f t="shared" si="0"/>
        <v>477957.23</v>
      </c>
      <c r="L32" s="73">
        <f t="shared" si="1"/>
        <v>0</v>
      </c>
      <c r="M32" s="56">
        <f t="shared" si="2"/>
        <v>0</v>
      </c>
      <c r="N32" s="60">
        <v>0</v>
      </c>
    </row>
    <row r="33" spans="1:18" ht="15.75" customHeight="1" x14ac:dyDescent="0.25">
      <c r="A33" s="62" t="s">
        <v>114</v>
      </c>
      <c r="B33" s="61">
        <v>200000</v>
      </c>
      <c r="C33" s="61">
        <v>200000</v>
      </c>
      <c r="D33" s="58"/>
      <c r="E33" s="58">
        <v>0</v>
      </c>
      <c r="F33" s="60"/>
      <c r="G33" s="56">
        <f t="shared" si="4"/>
        <v>200000</v>
      </c>
      <c r="H33" s="56">
        <v>200000</v>
      </c>
      <c r="I33" s="56"/>
      <c r="J33" s="56"/>
      <c r="K33" s="56">
        <f t="shared" si="0"/>
        <v>200000</v>
      </c>
      <c r="L33" s="73">
        <f t="shared" si="1"/>
        <v>0</v>
      </c>
      <c r="M33" s="56">
        <f t="shared" si="2"/>
        <v>0</v>
      </c>
      <c r="N33" s="60">
        <v>0</v>
      </c>
    </row>
    <row r="34" spans="1:18" ht="15.75" customHeight="1" x14ac:dyDescent="0.25">
      <c r="A34" s="107" t="s">
        <v>92</v>
      </c>
      <c r="B34" s="108"/>
      <c r="C34" s="108"/>
      <c r="D34" s="108"/>
      <c r="E34" s="108">
        <v>0</v>
      </c>
      <c r="F34" s="109">
        <v>0</v>
      </c>
      <c r="G34" s="110">
        <f t="shared" ref="G34" si="7">C34-E34</f>
        <v>0</v>
      </c>
      <c r="H34" s="110">
        <v>173.01</v>
      </c>
      <c r="I34" s="110">
        <v>103243.35</v>
      </c>
      <c r="J34" s="110">
        <f>103243.35+173.01</f>
        <v>103416.36</v>
      </c>
      <c r="K34" s="56">
        <f t="shared" si="0"/>
        <v>0</v>
      </c>
      <c r="L34" s="73">
        <f t="shared" si="1"/>
        <v>0</v>
      </c>
      <c r="M34" s="56">
        <f t="shared" si="2"/>
        <v>0</v>
      </c>
      <c r="N34" s="60">
        <v>0</v>
      </c>
    </row>
    <row r="35" spans="1:18" ht="15.75" customHeight="1" x14ac:dyDescent="0.25">
      <c r="A35" s="59" t="s">
        <v>68</v>
      </c>
      <c r="B35" s="58">
        <f>SUM(B19:B33)</f>
        <v>57761353.890000001</v>
      </c>
      <c r="C35" s="58">
        <f>SUM(C19:C34)</f>
        <v>30208315.800000001</v>
      </c>
      <c r="D35" s="58">
        <f>SUM(D19:D34)</f>
        <v>0</v>
      </c>
      <c r="E35" s="58">
        <f>SUM(E19:E34)</f>
        <v>22389273.979999997</v>
      </c>
      <c r="F35" s="57"/>
      <c r="G35" s="56">
        <f t="shared" ref="G35:M35" si="8">SUM(G19:G34)</f>
        <v>7819041.8199999984</v>
      </c>
      <c r="H35" s="56">
        <f t="shared" si="8"/>
        <v>7985430.7799999993</v>
      </c>
      <c r="I35" s="56">
        <f t="shared" si="8"/>
        <v>103243.35</v>
      </c>
      <c r="J35" s="56">
        <f t="shared" si="8"/>
        <v>269632.31</v>
      </c>
      <c r="K35" s="56">
        <f t="shared" si="8"/>
        <v>7819041.8200000003</v>
      </c>
      <c r="L35" s="56">
        <f t="shared" si="8"/>
        <v>-1.2223608791828156E-9</v>
      </c>
      <c r="M35" s="56">
        <f t="shared" si="8"/>
        <v>-1.2223608791828156E-9</v>
      </c>
      <c r="N35" s="60">
        <v>0</v>
      </c>
    </row>
    <row r="36" spans="1:18" ht="15.75" customHeight="1" x14ac:dyDescent="0.25">
      <c r="A36" s="153"/>
      <c r="B36" s="154"/>
      <c r="C36" s="154"/>
      <c r="D36" s="154"/>
      <c r="E36" s="154"/>
      <c r="F36" s="155"/>
      <c r="G36" s="55"/>
      <c r="H36" s="55"/>
      <c r="I36" s="55"/>
      <c r="J36" s="55"/>
      <c r="K36" s="55"/>
      <c r="L36" s="55"/>
      <c r="M36" s="55"/>
      <c r="N36" s="55"/>
    </row>
    <row r="37" spans="1:18" ht="15.75" customHeight="1" x14ac:dyDescent="0.25">
      <c r="A37" s="153"/>
      <c r="B37" s="154"/>
      <c r="C37" s="154"/>
      <c r="D37" s="154"/>
      <c r="E37" s="154"/>
      <c r="F37" s="155"/>
      <c r="G37" s="55"/>
      <c r="H37" s="55"/>
      <c r="I37" s="55"/>
      <c r="J37" s="55"/>
      <c r="K37" s="55"/>
      <c r="L37" s="55"/>
      <c r="M37" s="55"/>
      <c r="N37" s="55"/>
    </row>
    <row r="38" spans="1:18" ht="15.75" customHeight="1" x14ac:dyDescent="0.25">
      <c r="A38" s="153"/>
      <c r="B38" s="154"/>
      <c r="C38" s="154"/>
      <c r="D38" s="154"/>
      <c r="E38" s="154"/>
      <c r="F38" s="155"/>
      <c r="G38" s="55"/>
      <c r="H38" s="55"/>
      <c r="I38" s="55"/>
      <c r="J38" s="55"/>
      <c r="K38" s="55"/>
      <c r="L38" s="55"/>
      <c r="M38" s="55"/>
      <c r="N38" s="55"/>
    </row>
    <row r="39" spans="1:18" ht="15.75" customHeight="1" x14ac:dyDescent="0.25">
      <c r="A39" s="353" t="s">
        <v>97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55"/>
      <c r="N39" s="54"/>
    </row>
    <row r="40" spans="1:18" ht="15.75" customHeight="1" x14ac:dyDescent="0.25">
      <c r="A40" s="353"/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55"/>
      <c r="N40" s="54"/>
    </row>
    <row r="41" spans="1:18" ht="24.75" customHeight="1" x14ac:dyDescent="0.25">
      <c r="A41" s="353"/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55"/>
      <c r="N41" s="54"/>
    </row>
    <row r="42" spans="1:18" ht="15.75" customHeight="1" x14ac:dyDescent="0.2">
      <c r="C42" s="374"/>
      <c r="D42" s="374"/>
      <c r="E42" s="374"/>
      <c r="F42" s="374"/>
      <c r="G42" s="374"/>
      <c r="H42" s="374"/>
      <c r="I42" s="374"/>
      <c r="J42" s="52"/>
      <c r="K42" s="53"/>
      <c r="L42" s="52"/>
      <c r="M42" s="53"/>
      <c r="N42" s="52"/>
      <c r="O42" s="52"/>
      <c r="P42" s="52"/>
      <c r="Q42" s="52"/>
      <c r="R42" s="52"/>
    </row>
    <row r="43" spans="1:18" ht="15.75" hidden="1" customHeight="1" x14ac:dyDescent="0.25">
      <c r="B43" s="354" t="s">
        <v>16</v>
      </c>
      <c r="C43" s="354"/>
      <c r="D43" s="355" t="s">
        <v>17</v>
      </c>
      <c r="E43" s="356"/>
      <c r="F43" s="357"/>
      <c r="G43" s="358" t="s">
        <v>18</v>
      </c>
      <c r="H43" s="358"/>
      <c r="I43" s="160" t="s">
        <v>8</v>
      </c>
      <c r="J43" s="48"/>
      <c r="K43" s="48"/>
      <c r="M43" s="48"/>
    </row>
    <row r="44" spans="1:18" ht="15.75" hidden="1" customHeight="1" x14ac:dyDescent="0.25">
      <c r="B44" s="359" t="s">
        <v>19</v>
      </c>
      <c r="C44" s="359"/>
      <c r="D44" s="355"/>
      <c r="E44" s="356"/>
      <c r="F44" s="357"/>
      <c r="G44" s="360"/>
      <c r="H44" s="360"/>
      <c r="I44" s="44"/>
      <c r="J44" s="48"/>
      <c r="K44" s="45"/>
      <c r="M44" s="47"/>
    </row>
    <row r="45" spans="1:18" ht="15.75" hidden="1" customHeight="1" x14ac:dyDescent="0.25">
      <c r="B45" s="358" t="s">
        <v>20</v>
      </c>
      <c r="C45" s="358"/>
      <c r="D45" s="361"/>
      <c r="E45" s="362"/>
      <c r="F45" s="363"/>
      <c r="G45" s="364"/>
      <c r="H45" s="364"/>
      <c r="I45" s="44" t="e">
        <f>G45/D45</f>
        <v>#DIV/0!</v>
      </c>
      <c r="J45" s="48"/>
      <c r="K45" s="47"/>
    </row>
    <row r="46" spans="1:18" ht="15.75" hidden="1" customHeight="1" x14ac:dyDescent="0.25">
      <c r="B46" s="358" t="s">
        <v>21</v>
      </c>
      <c r="C46" s="358"/>
      <c r="D46" s="361"/>
      <c r="E46" s="362"/>
      <c r="F46" s="363"/>
      <c r="G46" s="364"/>
      <c r="H46" s="364"/>
      <c r="I46" s="44" t="e">
        <f>G46/D46</f>
        <v>#DIV/0!</v>
      </c>
      <c r="J46" s="46"/>
      <c r="K46" s="45"/>
    </row>
    <row r="47" spans="1:18" ht="15.75" hidden="1" customHeight="1" x14ac:dyDescent="0.25">
      <c r="B47" s="358" t="s">
        <v>22</v>
      </c>
      <c r="C47" s="358"/>
      <c r="D47" s="361"/>
      <c r="E47" s="362"/>
      <c r="F47" s="363"/>
      <c r="G47" s="364"/>
      <c r="H47" s="364"/>
      <c r="I47" s="44" t="e">
        <f>G47/D47</f>
        <v>#DIV/0!</v>
      </c>
    </row>
    <row r="48" spans="1:18" ht="15.75" customHeight="1" x14ac:dyDescent="0.2">
      <c r="A48" s="186"/>
      <c r="B48" s="167"/>
      <c r="C48" s="168"/>
      <c r="D48" s="167"/>
      <c r="E48" s="167"/>
      <c r="F48" s="167"/>
      <c r="G48" s="164"/>
      <c r="H48" s="164"/>
      <c r="I48" s="165"/>
      <c r="J48" s="186"/>
      <c r="K48" s="186"/>
      <c r="L48" s="166"/>
    </row>
    <row r="49" spans="1:14" s="38" customFormat="1" ht="13.5" x14ac:dyDescent="0.25">
      <c r="A49" s="383" t="s">
        <v>23</v>
      </c>
      <c r="B49" s="383"/>
      <c r="C49" s="383"/>
      <c r="D49" s="383"/>
      <c r="E49" s="384" t="s">
        <v>24</v>
      </c>
      <c r="F49" s="384"/>
      <c r="G49" s="384"/>
      <c r="H49" s="384"/>
      <c r="I49" s="384"/>
      <c r="J49" s="169"/>
      <c r="K49" s="170" t="s">
        <v>25</v>
      </c>
      <c r="L49" s="170"/>
      <c r="M49" s="161"/>
      <c r="N49" s="161"/>
    </row>
    <row r="50" spans="1:14" s="29" customFormat="1" ht="13.5" x14ac:dyDescent="0.25">
      <c r="A50" s="179"/>
      <c r="B50" s="179"/>
      <c r="C50" s="172"/>
      <c r="D50" s="173"/>
      <c r="E50" s="174"/>
      <c r="F50" s="175"/>
      <c r="G50" s="175"/>
      <c r="H50" s="175"/>
      <c r="I50" s="176"/>
      <c r="J50" s="177"/>
      <c r="K50" s="178"/>
      <c r="L50" s="178"/>
      <c r="M50" s="33"/>
      <c r="N50" s="32"/>
    </row>
    <row r="51" spans="1:14" s="29" customFormat="1" ht="13.5" x14ac:dyDescent="0.25">
      <c r="A51" s="179"/>
      <c r="B51" s="179"/>
      <c r="C51" s="172"/>
      <c r="D51" s="173"/>
      <c r="E51" s="174"/>
      <c r="F51" s="175"/>
      <c r="G51" s="175"/>
      <c r="H51" s="175"/>
      <c r="I51" s="176"/>
      <c r="J51" s="177"/>
      <c r="K51" s="178"/>
      <c r="L51" s="178"/>
      <c r="M51" s="33"/>
      <c r="N51" s="32"/>
    </row>
    <row r="52" spans="1:14" s="29" customFormat="1" ht="26.25" customHeight="1" x14ac:dyDescent="0.25">
      <c r="A52" s="381" t="s">
        <v>98</v>
      </c>
      <c r="B52" s="381"/>
      <c r="C52" s="381"/>
      <c r="D52" s="381"/>
      <c r="E52" s="382" t="s">
        <v>100</v>
      </c>
      <c r="F52" s="382"/>
      <c r="G52" s="382"/>
      <c r="H52" s="382"/>
      <c r="I52" s="382"/>
      <c r="J52" s="180" t="s">
        <v>99</v>
      </c>
      <c r="K52" s="181"/>
      <c r="L52" s="181"/>
      <c r="M52" s="30"/>
      <c r="N52" s="30"/>
    </row>
    <row r="53" spans="1:14" s="23" customFormat="1" ht="15.75" customHeight="1" x14ac:dyDescent="0.3">
      <c r="A53" s="376" t="s">
        <v>66</v>
      </c>
      <c r="B53" s="376"/>
      <c r="C53" s="376"/>
      <c r="D53" s="376"/>
      <c r="E53" s="185"/>
      <c r="F53" s="377" t="s">
        <v>65</v>
      </c>
      <c r="G53" s="377"/>
      <c r="H53" s="377"/>
      <c r="I53" s="183"/>
      <c r="J53" s="377" t="s">
        <v>95</v>
      </c>
      <c r="K53" s="377"/>
      <c r="L53" s="377"/>
      <c r="M53" s="377"/>
    </row>
    <row r="54" spans="1:14" s="23" customFormat="1" ht="15.75" customHeight="1" x14ac:dyDescent="0.3">
      <c r="A54" s="184"/>
      <c r="B54" s="378" t="s">
        <v>107</v>
      </c>
      <c r="C54" s="378"/>
      <c r="D54" s="185"/>
      <c r="E54" s="186"/>
      <c r="F54" s="379" t="s">
        <v>111</v>
      </c>
      <c r="G54" s="379"/>
      <c r="H54" s="379"/>
      <c r="I54" s="379"/>
      <c r="J54" s="378" t="s">
        <v>110</v>
      </c>
      <c r="K54" s="378"/>
      <c r="L54" s="378"/>
      <c r="M54" s="378"/>
    </row>
    <row r="55" spans="1:14" ht="15.75" customHeight="1" x14ac:dyDescent="0.2">
      <c r="A55" s="5"/>
      <c r="B55" s="17"/>
      <c r="C55" s="17"/>
      <c r="D55" s="17"/>
      <c r="G55" s="17"/>
      <c r="H55" s="17"/>
      <c r="J55" s="17"/>
      <c r="K55" s="17"/>
      <c r="L55" s="17"/>
      <c r="M55" s="17"/>
    </row>
    <row r="56" spans="1:14" ht="15.75" customHeight="1" x14ac:dyDescent="0.2"/>
    <row r="57" spans="1:14" ht="15.75" customHeight="1" x14ac:dyDescent="0.2">
      <c r="A57" s="22" t="s">
        <v>64</v>
      </c>
    </row>
    <row r="58" spans="1:14" ht="15.75" customHeight="1" x14ac:dyDescent="0.2">
      <c r="A58" s="22"/>
    </row>
    <row r="59" spans="1:14" ht="15.75" customHeight="1" x14ac:dyDescent="0.2">
      <c r="A59" s="22"/>
    </row>
    <row r="60" spans="1:14" ht="15.75" customHeight="1" x14ac:dyDescent="0.25">
      <c r="A60" s="346" t="s">
        <v>0</v>
      </c>
      <c r="B60" s="346"/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</row>
    <row r="61" spans="1:14" ht="15.75" customHeight="1" x14ac:dyDescent="0.2">
      <c r="B61" s="21"/>
      <c r="C61" s="21"/>
      <c r="D61" s="21"/>
      <c r="E61" s="21"/>
      <c r="F61" s="21"/>
      <c r="G61" s="21"/>
      <c r="H61" s="21"/>
    </row>
    <row r="62" spans="1:14" s="19" customFormat="1" ht="15.75" customHeight="1" x14ac:dyDescent="0.25">
      <c r="A62" s="321" t="s">
        <v>63</v>
      </c>
      <c r="B62" s="321"/>
      <c r="C62" s="321"/>
      <c r="D62" s="156"/>
      <c r="E62" s="321" t="s">
        <v>62</v>
      </c>
      <c r="F62" s="321"/>
      <c r="G62" s="321"/>
      <c r="H62" s="321"/>
      <c r="I62" s="321"/>
      <c r="J62" s="321"/>
      <c r="K62" s="321"/>
      <c r="L62" s="321"/>
      <c r="M62" s="321"/>
      <c r="N62" s="321"/>
    </row>
    <row r="63" spans="1:14" ht="15.75" customHeight="1" x14ac:dyDescent="0.2">
      <c r="A63" s="17"/>
      <c r="B63" s="17"/>
      <c r="C63" s="18"/>
      <c r="D63" s="18"/>
      <c r="F63" s="17"/>
      <c r="G63" s="17"/>
      <c r="H63" s="17"/>
    </row>
    <row r="64" spans="1:14" ht="15.75" customHeight="1" x14ac:dyDescent="0.2">
      <c r="A64" s="16" t="s">
        <v>61</v>
      </c>
      <c r="B64" s="14"/>
      <c r="C64" s="14"/>
      <c r="D64" s="14"/>
      <c r="E64" s="347" t="s">
        <v>60</v>
      </c>
      <c r="F64" s="347"/>
      <c r="G64" s="347"/>
      <c r="H64" s="347"/>
      <c r="I64" s="347"/>
    </row>
    <row r="65" spans="1:14" ht="5.0999999999999996" customHeight="1" x14ac:dyDescent="0.2">
      <c r="A65" s="159"/>
      <c r="B65" s="159"/>
      <c r="C65" s="159"/>
      <c r="D65" s="159"/>
      <c r="E65" s="159"/>
      <c r="F65" s="10"/>
      <c r="G65" s="10"/>
    </row>
    <row r="66" spans="1:14" ht="15.75" customHeight="1" x14ac:dyDescent="0.25">
      <c r="A66" s="348" t="s">
        <v>59</v>
      </c>
      <c r="B66" s="348"/>
      <c r="C66" s="14"/>
      <c r="D66" s="14"/>
      <c r="E66" s="347" t="s">
        <v>58</v>
      </c>
      <c r="F66" s="347"/>
      <c r="G66" s="347"/>
      <c r="H66" s="347"/>
      <c r="I66" s="347"/>
      <c r="J66" s="13"/>
      <c r="K66" s="13"/>
      <c r="L66" s="13"/>
      <c r="M66" s="13"/>
      <c r="N66" s="13"/>
    </row>
    <row r="67" spans="1:14" ht="5.0999999999999996" customHeight="1" x14ac:dyDescent="0.2">
      <c r="A67" s="5"/>
      <c r="B67" s="5"/>
    </row>
    <row r="68" spans="1:14" ht="15.75" customHeight="1" x14ac:dyDescent="0.25">
      <c r="A68" s="3" t="s">
        <v>57</v>
      </c>
      <c r="B68" s="3"/>
      <c r="E68" s="2" t="s">
        <v>56</v>
      </c>
    </row>
    <row r="69" spans="1:14" ht="5.0999999999999996" customHeight="1" x14ac:dyDescent="0.2">
      <c r="A69" s="5"/>
      <c r="B69" s="5"/>
    </row>
    <row r="70" spans="1:14" ht="47.25" customHeight="1" x14ac:dyDescent="0.25">
      <c r="A70" s="11" t="s">
        <v>55</v>
      </c>
      <c r="B70" s="3"/>
      <c r="E70" s="349" t="s">
        <v>54</v>
      </c>
      <c r="F70" s="349"/>
      <c r="G70" s="349"/>
      <c r="H70" s="349"/>
      <c r="I70" s="349"/>
      <c r="J70" s="349"/>
      <c r="K70" s="349"/>
      <c r="L70" s="349"/>
      <c r="M70" s="349"/>
      <c r="N70" s="349"/>
    </row>
    <row r="71" spans="1:14" ht="5.0999999999999996" customHeight="1" x14ac:dyDescent="0.2">
      <c r="A71" s="5"/>
      <c r="B71" s="5"/>
      <c r="E71" s="12"/>
    </row>
    <row r="72" spans="1:14" ht="47.25" customHeight="1" x14ac:dyDescent="0.25">
      <c r="A72" s="11" t="s">
        <v>53</v>
      </c>
      <c r="B72" s="3"/>
      <c r="E72" s="350" t="s">
        <v>52</v>
      </c>
      <c r="F72" s="350"/>
      <c r="G72" s="350"/>
      <c r="H72" s="350"/>
      <c r="I72" s="350"/>
      <c r="J72" s="350"/>
      <c r="K72" s="350"/>
      <c r="L72" s="350"/>
      <c r="M72" s="350"/>
      <c r="N72" s="350"/>
    </row>
    <row r="73" spans="1:14" ht="5.0999999999999996" customHeight="1" x14ac:dyDescent="0.25">
      <c r="A73" s="5"/>
      <c r="B73" s="5"/>
      <c r="E73" s="2"/>
    </row>
    <row r="74" spans="1:14" ht="49.5" customHeight="1" x14ac:dyDescent="0.25">
      <c r="A74" s="11" t="s">
        <v>6</v>
      </c>
      <c r="B74" s="3"/>
      <c r="E74" s="351" t="s">
        <v>51</v>
      </c>
      <c r="F74" s="351"/>
      <c r="G74" s="351"/>
      <c r="H74" s="351"/>
      <c r="I74" s="351"/>
      <c r="J74" s="351"/>
      <c r="K74" s="351"/>
      <c r="L74" s="351"/>
      <c r="M74" s="351"/>
      <c r="N74" s="351"/>
    </row>
    <row r="75" spans="1:14" ht="5.0999999999999996" customHeight="1" x14ac:dyDescent="0.25">
      <c r="A75" s="5"/>
      <c r="B75" s="5"/>
      <c r="E75" s="2"/>
    </row>
    <row r="76" spans="1:14" ht="49.5" customHeight="1" x14ac:dyDescent="0.25">
      <c r="A76" s="11" t="s">
        <v>50</v>
      </c>
      <c r="B76" s="3"/>
      <c r="E76" s="351" t="s">
        <v>49</v>
      </c>
      <c r="F76" s="351"/>
      <c r="G76" s="351"/>
      <c r="H76" s="351"/>
      <c r="I76" s="351"/>
      <c r="J76" s="351"/>
      <c r="K76" s="351"/>
      <c r="L76" s="351"/>
      <c r="M76" s="351"/>
      <c r="N76" s="351"/>
    </row>
    <row r="77" spans="1:14" ht="5.0999999999999996" customHeight="1" x14ac:dyDescent="0.2">
      <c r="A77" s="10"/>
      <c r="B77" s="10"/>
    </row>
    <row r="78" spans="1:14" ht="30.75" customHeight="1" x14ac:dyDescent="0.25">
      <c r="A78" s="9" t="s">
        <v>8</v>
      </c>
      <c r="B78" s="3"/>
      <c r="E78" s="349" t="s">
        <v>48</v>
      </c>
      <c r="F78" s="352"/>
      <c r="G78" s="352"/>
      <c r="H78" s="352"/>
      <c r="I78" s="352"/>
      <c r="J78" s="352"/>
      <c r="K78" s="352"/>
      <c r="L78" s="352"/>
      <c r="M78" s="352"/>
      <c r="N78" s="352"/>
    </row>
    <row r="79" spans="1:14" ht="5.0999999999999996" customHeight="1" x14ac:dyDescent="0.2">
      <c r="A79" s="5"/>
      <c r="B79" s="5"/>
    </row>
    <row r="80" spans="1:14" ht="15.75" customHeight="1" x14ac:dyDescent="0.25">
      <c r="A80" s="3" t="s">
        <v>47</v>
      </c>
      <c r="B80" s="3"/>
      <c r="E80" s="2" t="s">
        <v>46</v>
      </c>
    </row>
    <row r="81" spans="1:14" ht="5.0999999999999996" customHeight="1" x14ac:dyDescent="0.2">
      <c r="A81" s="5"/>
      <c r="B81" s="5"/>
    </row>
    <row r="82" spans="1:14" ht="15.75" customHeight="1" x14ac:dyDescent="0.25">
      <c r="A82" s="8" t="s">
        <v>45</v>
      </c>
      <c r="B82" s="3"/>
      <c r="E82" s="7" t="s">
        <v>44</v>
      </c>
    </row>
    <row r="83" spans="1:14" ht="5.0999999999999996" customHeight="1" x14ac:dyDescent="0.2">
      <c r="A83" s="5"/>
      <c r="B83" s="5"/>
    </row>
    <row r="84" spans="1:14" ht="15.75" customHeight="1" x14ac:dyDescent="0.25">
      <c r="A84" s="3" t="s">
        <v>43</v>
      </c>
      <c r="B84" s="3"/>
      <c r="E84" s="2" t="s">
        <v>42</v>
      </c>
    </row>
    <row r="85" spans="1:14" ht="5.0999999999999996" customHeight="1" x14ac:dyDescent="0.2">
      <c r="A85" s="5"/>
      <c r="B85" s="5"/>
    </row>
    <row r="86" spans="1:14" ht="15.75" customHeight="1" x14ac:dyDescent="0.25">
      <c r="A86" s="3" t="s">
        <v>41</v>
      </c>
      <c r="B86" s="3"/>
      <c r="E86" s="2" t="s">
        <v>40</v>
      </c>
    </row>
    <row r="87" spans="1:14" ht="5.0999999999999996" customHeight="1" x14ac:dyDescent="0.25">
      <c r="A87" s="3"/>
      <c r="B87" s="3"/>
      <c r="E87" s="2"/>
    </row>
    <row r="88" spans="1:14" ht="15.75" customHeight="1" x14ac:dyDescent="0.25">
      <c r="A88" s="8" t="s">
        <v>39</v>
      </c>
      <c r="B88" s="3"/>
      <c r="E88" s="7" t="s">
        <v>38</v>
      </c>
    </row>
    <row r="89" spans="1:14" ht="5.0999999999999996" customHeight="1" x14ac:dyDescent="0.2">
      <c r="A89" s="5"/>
      <c r="B89" s="5"/>
    </row>
    <row r="90" spans="1:14" ht="37.5" customHeight="1" x14ac:dyDescent="0.25">
      <c r="A90" s="6" t="s">
        <v>37</v>
      </c>
      <c r="B90" s="3"/>
      <c r="E90" s="344" t="s">
        <v>36</v>
      </c>
      <c r="F90" s="345"/>
      <c r="G90" s="345"/>
      <c r="H90" s="345"/>
      <c r="I90" s="345"/>
      <c r="J90" s="345"/>
      <c r="K90" s="345"/>
      <c r="L90" s="345"/>
      <c r="M90" s="345"/>
      <c r="N90" s="345"/>
    </row>
    <row r="91" spans="1:14" ht="5.0999999999999996" customHeight="1" x14ac:dyDescent="0.2">
      <c r="A91" s="5"/>
      <c r="B91" s="5"/>
    </row>
    <row r="92" spans="1:14" ht="15.75" customHeight="1" x14ac:dyDescent="0.25">
      <c r="A92" s="3" t="s">
        <v>35</v>
      </c>
      <c r="B92" s="3"/>
      <c r="E92" s="2" t="s">
        <v>34</v>
      </c>
    </row>
    <row r="93" spans="1:14" ht="5.0999999999999996" customHeight="1" x14ac:dyDescent="0.2">
      <c r="A93" s="5"/>
      <c r="B93" s="5"/>
    </row>
    <row r="94" spans="1:14" ht="15.75" customHeight="1" x14ac:dyDescent="0.25">
      <c r="A94" s="3" t="s">
        <v>33</v>
      </c>
      <c r="B94" s="3"/>
      <c r="E94" s="2" t="s">
        <v>32</v>
      </c>
    </row>
    <row r="95" spans="1:14" ht="5.0999999999999996" customHeight="1" x14ac:dyDescent="0.2">
      <c r="A95" s="5"/>
      <c r="B95" s="5"/>
    </row>
    <row r="96" spans="1:14" ht="15.75" customHeight="1" x14ac:dyDescent="0.25">
      <c r="A96" s="3" t="s">
        <v>31</v>
      </c>
      <c r="B96" s="3"/>
      <c r="E96" s="2" t="s">
        <v>30</v>
      </c>
    </row>
    <row r="97" spans="1:5" ht="5.0999999999999996" customHeight="1" x14ac:dyDescent="0.2">
      <c r="A97" s="5"/>
      <c r="B97" s="5"/>
    </row>
    <row r="98" spans="1:5" ht="15.75" customHeight="1" x14ac:dyDescent="0.25">
      <c r="A98" s="3" t="s">
        <v>29</v>
      </c>
      <c r="B98" s="3"/>
      <c r="E98" s="2" t="s">
        <v>28</v>
      </c>
    </row>
    <row r="99" spans="1:5" ht="5.0999999999999996" customHeight="1" x14ac:dyDescent="0.2">
      <c r="A99" s="5"/>
      <c r="B99" s="5"/>
    </row>
    <row r="100" spans="1:5" ht="15.75" customHeight="1" x14ac:dyDescent="0.25">
      <c r="A100" s="4" t="s">
        <v>14</v>
      </c>
      <c r="B100" s="3"/>
      <c r="E100" s="2" t="s">
        <v>27</v>
      </c>
    </row>
  </sheetData>
  <mergeCells count="55">
    <mergeCell ref="C12:C13"/>
    <mergeCell ref="D12:D13"/>
    <mergeCell ref="E12:E13"/>
    <mergeCell ref="A4:N4"/>
    <mergeCell ref="A6:N6"/>
    <mergeCell ref="D7:I7"/>
    <mergeCell ref="C11:G11"/>
    <mergeCell ref="H11:K11"/>
    <mergeCell ref="B44:C44"/>
    <mergeCell ref="D44:F44"/>
    <mergeCell ref="G44:H44"/>
    <mergeCell ref="F12:F13"/>
    <mergeCell ref="G12:G13"/>
    <mergeCell ref="H12:H13"/>
    <mergeCell ref="A39:L41"/>
    <mergeCell ref="C42:I42"/>
    <mergeCell ref="B43:C43"/>
    <mergeCell ref="D43:F43"/>
    <mergeCell ref="G43:H43"/>
    <mergeCell ref="I12:I13"/>
    <mergeCell ref="J12:J13"/>
    <mergeCell ref="K12:K13"/>
    <mergeCell ref="A12:A13"/>
    <mergeCell ref="B12:B13"/>
    <mergeCell ref="A52:D52"/>
    <mergeCell ref="E52:I52"/>
    <mergeCell ref="B45:C45"/>
    <mergeCell ref="D45:F45"/>
    <mergeCell ref="G45:H45"/>
    <mergeCell ref="B46:C46"/>
    <mergeCell ref="D46:F46"/>
    <mergeCell ref="G46:H46"/>
    <mergeCell ref="B47:C47"/>
    <mergeCell ref="D47:F47"/>
    <mergeCell ref="G47:H47"/>
    <mergeCell ref="A49:D49"/>
    <mergeCell ref="E49:I49"/>
    <mergeCell ref="A53:D53"/>
    <mergeCell ref="F53:H53"/>
    <mergeCell ref="J53:M53"/>
    <mergeCell ref="B54:C54"/>
    <mergeCell ref="F54:I54"/>
    <mergeCell ref="J54:M54"/>
    <mergeCell ref="E90:N90"/>
    <mergeCell ref="A60:N60"/>
    <mergeCell ref="A62:C62"/>
    <mergeCell ref="E62:N62"/>
    <mergeCell ref="E64:I64"/>
    <mergeCell ref="A66:B66"/>
    <mergeCell ref="E66:I66"/>
    <mergeCell ref="E70:N70"/>
    <mergeCell ref="E72:N72"/>
    <mergeCell ref="E74:N74"/>
    <mergeCell ref="E76:N76"/>
    <mergeCell ref="E78:N78"/>
  </mergeCells>
  <pageMargins left="0.62992125984251968" right="0.62992125984251968" top="0.39370078740157483" bottom="0.23622047244094491" header="0" footer="0"/>
  <pageSetup scale="70" orientation="landscape" r:id="rId1"/>
  <headerFooter alignWithMargins="0">
    <oddFooter>&amp;R</oddFooter>
  </headerFooter>
  <rowBreaks count="1" manualBreakCount="1">
    <brk id="56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4:S100"/>
  <sheetViews>
    <sheetView showGridLines="0" topLeftCell="B14" zoomScale="130" zoomScaleNormal="130" zoomScaleSheetLayoutView="100" workbookViewId="0">
      <selection activeCell="L20" sqref="L20"/>
    </sheetView>
  </sheetViews>
  <sheetFormatPr baseColWidth="10" defaultRowHeight="12.75" x14ac:dyDescent="0.2"/>
  <cols>
    <col min="1" max="1" width="24.2851562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207"/>
      <c r="B7" s="207"/>
      <c r="C7" s="207"/>
      <c r="D7" s="321" t="s">
        <v>119</v>
      </c>
      <c r="E7" s="321"/>
      <c r="F7" s="321"/>
      <c r="G7" s="321"/>
      <c r="H7" s="321"/>
      <c r="I7" s="321"/>
      <c r="J7" s="207"/>
      <c r="K7" s="207"/>
      <c r="L7" s="207"/>
      <c r="M7" s="207"/>
      <c r="N7" s="207"/>
    </row>
    <row r="8" spans="1:14" ht="15.75" customHeight="1" x14ac:dyDescent="0.25">
      <c r="A8" s="85"/>
      <c r="B8" s="84"/>
      <c r="C8" s="84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</row>
    <row r="9" spans="1:14" ht="15.75" hidden="1" customHeight="1" x14ac:dyDescent="0.25">
      <c r="A9" s="85" t="s">
        <v>1</v>
      </c>
      <c r="B9" s="84"/>
      <c r="C9" s="84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</row>
    <row r="10" spans="1:14" ht="15.75" customHeight="1" x14ac:dyDescent="0.2">
      <c r="B10" s="5"/>
      <c r="C10" s="83"/>
      <c r="D10" s="5"/>
      <c r="E10" s="15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209"/>
      <c r="M12" s="209"/>
      <c r="N12" s="208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209"/>
      <c r="M13" s="209"/>
      <c r="N13" s="79" t="s">
        <v>15</v>
      </c>
    </row>
    <row r="14" spans="1:14" ht="15.75" customHeight="1" x14ac:dyDescent="0.25">
      <c r="A14" s="77" t="s">
        <v>81</v>
      </c>
      <c r="B14" s="78"/>
      <c r="C14" s="227"/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227"/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227"/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227"/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227"/>
      <c r="D18" s="58"/>
      <c r="F18" s="60"/>
      <c r="G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>
        <v>13131151.18</v>
      </c>
      <c r="C19" s="227"/>
      <c r="D19" s="58"/>
      <c r="E19" s="58"/>
      <c r="F19" s="73"/>
      <c r="G19" s="56"/>
      <c r="H19" s="56"/>
      <c r="I19" s="56">
        <v>0</v>
      </c>
      <c r="J19" s="56"/>
      <c r="K19" s="56"/>
      <c r="L19" s="73"/>
      <c r="M19" s="73"/>
      <c r="N19" s="72"/>
      <c r="O19" s="68"/>
    </row>
    <row r="20" spans="1:19" ht="15.75" customHeight="1" x14ac:dyDescent="0.25">
      <c r="A20" s="249" t="s">
        <v>75</v>
      </c>
      <c r="B20" s="250">
        <v>16873510</v>
      </c>
      <c r="C20" s="250">
        <v>8167967.9299999997</v>
      </c>
      <c r="D20" s="256"/>
      <c r="E20" s="256">
        <v>6452120.4500000002</v>
      </c>
      <c r="F20" s="253">
        <f t="shared" ref="F20:F30" si="0">E20/C20</f>
        <v>0.78992969919753353</v>
      </c>
      <c r="G20" s="254">
        <f t="shared" ref="G20:G33" si="1">+C20+D20-E20</f>
        <v>1715847.4799999995</v>
      </c>
      <c r="H20" s="254">
        <v>1346889.97</v>
      </c>
      <c r="I20" s="254">
        <v>215000</v>
      </c>
      <c r="J20" s="254">
        <f>126160.95</f>
        <v>126160.95</v>
      </c>
      <c r="K20" s="254">
        <f t="shared" ref="K20:K34" si="2">+H20+I20-J20</f>
        <v>1435729.02</v>
      </c>
      <c r="L20" s="227">
        <f>+G20-K20</f>
        <v>280118.4599999995</v>
      </c>
      <c r="M20" s="254">
        <f t="shared" ref="M20:M34" si="3">G20-K20</f>
        <v>280118.4599999995</v>
      </c>
      <c r="N20" s="253">
        <f t="shared" ref="N20:N29" si="4">E20/B20</f>
        <v>0.38238164140122594</v>
      </c>
      <c r="O20" s="70"/>
      <c r="P20" s="71"/>
      <c r="Q20" s="48"/>
    </row>
    <row r="21" spans="1:19" ht="15.75" customHeight="1" x14ac:dyDescent="0.25">
      <c r="A21" s="249" t="s">
        <v>74</v>
      </c>
      <c r="B21" s="250">
        <v>7436006</v>
      </c>
      <c r="C21" s="250">
        <v>4390907.25</v>
      </c>
      <c r="D21" s="256"/>
      <c r="E21" s="256">
        <v>4280649.3</v>
      </c>
      <c r="F21" s="253">
        <f t="shared" si="0"/>
        <v>0.97488948326111868</v>
      </c>
      <c r="G21" s="254">
        <f t="shared" si="1"/>
        <v>110257.95000000019</v>
      </c>
      <c r="H21" s="254">
        <v>605167.94999999995</v>
      </c>
      <c r="I21" s="254">
        <v>0</v>
      </c>
      <c r="J21" s="254">
        <v>215000</v>
      </c>
      <c r="K21" s="254">
        <f t="shared" si="2"/>
        <v>390167.94999999995</v>
      </c>
      <c r="L21" s="227">
        <f t="shared" ref="L21:L34" si="5">+G21-K21</f>
        <v>-279909.99999999977</v>
      </c>
      <c r="M21" s="254">
        <f t="shared" si="3"/>
        <v>-279909.99999999977</v>
      </c>
      <c r="N21" s="253">
        <f t="shared" si="4"/>
        <v>0.5756651218409452</v>
      </c>
      <c r="O21" s="70"/>
      <c r="P21" s="69"/>
      <c r="Q21" s="45"/>
    </row>
    <row r="22" spans="1:19" ht="15.75" customHeight="1" x14ac:dyDescent="0.25">
      <c r="A22" s="235" t="s">
        <v>73</v>
      </c>
      <c r="B22" s="228">
        <v>281545</v>
      </c>
      <c r="C22" s="229">
        <v>154613.65</v>
      </c>
      <c r="D22" s="232"/>
      <c r="E22" s="231">
        <v>51992.26</v>
      </c>
      <c r="F22" s="236">
        <f>E22/C22</f>
        <v>0.33627212086384356</v>
      </c>
      <c r="G22" s="233">
        <f>+C22+D22-E22</f>
        <v>102621.38999999998</v>
      </c>
      <c r="H22" s="233">
        <v>102621.39</v>
      </c>
      <c r="I22" s="233">
        <v>0</v>
      </c>
      <c r="J22" s="233">
        <v>0</v>
      </c>
      <c r="K22" s="233">
        <f t="shared" si="2"/>
        <v>102621.39</v>
      </c>
      <c r="L22" s="237">
        <f t="shared" si="5"/>
        <v>0</v>
      </c>
      <c r="M22" s="233">
        <f t="shared" si="3"/>
        <v>0</v>
      </c>
      <c r="N22" s="60">
        <f t="shared" si="4"/>
        <v>0.1846676730185228</v>
      </c>
      <c r="O22" s="68"/>
    </row>
    <row r="23" spans="1:19" ht="15.75" customHeight="1" x14ac:dyDescent="0.25">
      <c r="A23" s="235" t="s">
        <v>86</v>
      </c>
      <c r="B23" s="228">
        <v>824025</v>
      </c>
      <c r="C23" s="228">
        <v>545838.69999999995</v>
      </c>
      <c r="D23" s="231"/>
      <c r="E23" s="231">
        <v>464224.5</v>
      </c>
      <c r="F23" s="236">
        <f t="shared" ref="F23:F25" si="6">E23/C23</f>
        <v>0.85047927162365011</v>
      </c>
      <c r="G23" s="233">
        <f>+C23+D23-E23</f>
        <v>81614.199999999953</v>
      </c>
      <c r="H23" s="233">
        <v>81614.2</v>
      </c>
      <c r="I23" s="233">
        <v>0</v>
      </c>
      <c r="J23" s="233">
        <v>0</v>
      </c>
      <c r="K23" s="233">
        <f t="shared" si="2"/>
        <v>81614.2</v>
      </c>
      <c r="L23" s="237">
        <f t="shared" si="5"/>
        <v>0</v>
      </c>
      <c r="M23" s="233">
        <f t="shared" si="3"/>
        <v>0</v>
      </c>
      <c r="N23" s="60">
        <f t="shared" si="4"/>
        <v>0.56336215527441524</v>
      </c>
    </row>
    <row r="24" spans="1:19" ht="15.75" customHeight="1" x14ac:dyDescent="0.25">
      <c r="A24" s="235" t="s">
        <v>72</v>
      </c>
      <c r="B24" s="228">
        <v>600184</v>
      </c>
      <c r="C24" s="228">
        <v>243677.23</v>
      </c>
      <c r="D24" s="231"/>
      <c r="E24" s="231">
        <v>231026.71</v>
      </c>
      <c r="F24" s="236">
        <f t="shared" si="6"/>
        <v>0.94808493185842591</v>
      </c>
      <c r="G24" s="233">
        <f t="shared" si="1"/>
        <v>12650.520000000019</v>
      </c>
      <c r="H24" s="233">
        <v>12650.52</v>
      </c>
      <c r="I24" s="233">
        <v>0</v>
      </c>
      <c r="J24" s="233">
        <v>0</v>
      </c>
      <c r="K24" s="233">
        <f t="shared" si="2"/>
        <v>12650.52</v>
      </c>
      <c r="L24" s="237">
        <f t="shared" si="5"/>
        <v>1.8189894035458565E-11</v>
      </c>
      <c r="M24" s="233">
        <f t="shared" si="3"/>
        <v>1.8189894035458565E-11</v>
      </c>
      <c r="N24" s="60">
        <f t="shared" si="4"/>
        <v>0.3849264725484185</v>
      </c>
    </row>
    <row r="25" spans="1:19" ht="15.75" customHeight="1" x14ac:dyDescent="0.25">
      <c r="A25" s="249" t="s">
        <v>93</v>
      </c>
      <c r="B25" s="250">
        <v>11851740</v>
      </c>
      <c r="C25" s="251">
        <v>6913750.2300000004</v>
      </c>
      <c r="D25" s="252"/>
      <c r="E25" s="252">
        <v>6009310.25</v>
      </c>
      <c r="F25" s="253">
        <f t="shared" si="6"/>
        <v>0.869182433569053</v>
      </c>
      <c r="G25" s="254">
        <f t="shared" si="1"/>
        <v>904439.98000000045</v>
      </c>
      <c r="H25" s="255">
        <v>974736.98</v>
      </c>
      <c r="I25" s="255">
        <v>0</v>
      </c>
      <c r="J25" s="255">
        <f>70297-208.46+0.22</f>
        <v>70088.759999999995</v>
      </c>
      <c r="K25" s="254">
        <f t="shared" si="2"/>
        <v>904648.22</v>
      </c>
      <c r="L25" s="227">
        <f t="shared" si="5"/>
        <v>-208.23999999952503</v>
      </c>
      <c r="M25" s="254">
        <f t="shared" si="3"/>
        <v>-208.23999999952503</v>
      </c>
      <c r="N25" s="257">
        <f t="shared" si="4"/>
        <v>0.50704033753693556</v>
      </c>
      <c r="O25" s="48"/>
      <c r="P25" s="65"/>
      <c r="Q25" s="65"/>
      <c r="R25" s="65"/>
      <c r="S25" s="65"/>
    </row>
    <row r="26" spans="1:19" ht="15.75" customHeight="1" x14ac:dyDescent="0.25">
      <c r="A26" s="235" t="s">
        <v>91</v>
      </c>
      <c r="B26" s="228">
        <v>3479677</v>
      </c>
      <c r="C26" s="231">
        <v>2436269.62</v>
      </c>
      <c r="D26" s="232"/>
      <c r="E26" s="231">
        <v>0</v>
      </c>
      <c r="F26" s="238">
        <f t="shared" si="0"/>
        <v>0</v>
      </c>
      <c r="G26" s="234">
        <f>+C26+D26-E26</f>
        <v>2436269.62</v>
      </c>
      <c r="H26" s="233">
        <v>2436269.62</v>
      </c>
      <c r="I26" s="233">
        <v>0</v>
      </c>
      <c r="J26" s="233">
        <v>0</v>
      </c>
      <c r="K26" s="233">
        <f t="shared" si="2"/>
        <v>2436269.62</v>
      </c>
      <c r="L26" s="237">
        <f t="shared" si="5"/>
        <v>0</v>
      </c>
      <c r="M26" s="233">
        <f t="shared" si="3"/>
        <v>0</v>
      </c>
      <c r="N26" s="60">
        <f t="shared" si="4"/>
        <v>0</v>
      </c>
      <c r="O26" s="64"/>
    </row>
    <row r="27" spans="1:19" ht="15.75" customHeight="1" x14ac:dyDescent="0.25">
      <c r="A27" s="235" t="s">
        <v>90</v>
      </c>
      <c r="B27" s="228"/>
      <c r="C27" s="231">
        <v>0</v>
      </c>
      <c r="D27" s="232"/>
      <c r="E27" s="231">
        <v>0</v>
      </c>
      <c r="F27" s="238">
        <v>0</v>
      </c>
      <c r="G27" s="234">
        <f>+C27+D27-E27</f>
        <v>0</v>
      </c>
      <c r="H27" s="233">
        <v>0</v>
      </c>
      <c r="I27" s="233">
        <v>0</v>
      </c>
      <c r="J27" s="233">
        <v>0</v>
      </c>
      <c r="K27" s="233">
        <f>+H27+I27-J27</f>
        <v>0</v>
      </c>
      <c r="L27" s="237">
        <f t="shared" si="5"/>
        <v>0</v>
      </c>
      <c r="M27" s="233">
        <f t="shared" si="3"/>
        <v>0</v>
      </c>
      <c r="N27" s="60">
        <v>0</v>
      </c>
      <c r="O27" s="64"/>
    </row>
    <row r="28" spans="1:19" ht="15.75" customHeight="1" x14ac:dyDescent="0.25">
      <c r="A28" s="235" t="s">
        <v>70</v>
      </c>
      <c r="B28" s="229">
        <v>99465</v>
      </c>
      <c r="C28" s="228">
        <v>103384.58</v>
      </c>
      <c r="D28" s="231"/>
      <c r="E28" s="231">
        <v>87496.99</v>
      </c>
      <c r="F28" s="236">
        <f t="shared" si="0"/>
        <v>0.84632534174825691</v>
      </c>
      <c r="G28" s="234">
        <f>+C28+D28-E28</f>
        <v>15887.589999999997</v>
      </c>
      <c r="H28" s="233">
        <v>15887.59</v>
      </c>
      <c r="I28" s="233">
        <v>0</v>
      </c>
      <c r="J28" s="233">
        <v>0</v>
      </c>
      <c r="K28" s="233">
        <f t="shared" si="2"/>
        <v>15887.59</v>
      </c>
      <c r="L28" s="237">
        <f t="shared" si="5"/>
        <v>0</v>
      </c>
      <c r="M28" s="233">
        <f t="shared" si="3"/>
        <v>0</v>
      </c>
      <c r="N28" s="60">
        <f t="shared" si="4"/>
        <v>0.87967616749610422</v>
      </c>
    </row>
    <row r="29" spans="1:19" ht="15.75" customHeight="1" x14ac:dyDescent="0.25">
      <c r="A29" s="235" t="s">
        <v>69</v>
      </c>
      <c r="B29" s="228">
        <v>29793</v>
      </c>
      <c r="C29" s="228">
        <v>17382.89</v>
      </c>
      <c r="D29" s="231"/>
      <c r="E29" s="231">
        <v>0</v>
      </c>
      <c r="F29" s="236">
        <f t="shared" si="0"/>
        <v>0</v>
      </c>
      <c r="G29" s="233">
        <f t="shared" si="1"/>
        <v>17382.89</v>
      </c>
      <c r="H29" s="233">
        <v>17382.89</v>
      </c>
      <c r="I29" s="233">
        <v>0</v>
      </c>
      <c r="J29" s="233">
        <v>0</v>
      </c>
      <c r="K29" s="233">
        <f t="shared" si="2"/>
        <v>17382.89</v>
      </c>
      <c r="L29" s="237">
        <f t="shared" si="5"/>
        <v>0</v>
      </c>
      <c r="M29" s="233">
        <f t="shared" si="3"/>
        <v>0</v>
      </c>
      <c r="N29" s="60">
        <f t="shared" si="4"/>
        <v>0</v>
      </c>
    </row>
    <row r="30" spans="1:19" ht="15.75" customHeight="1" x14ac:dyDescent="0.25">
      <c r="A30" s="235" t="s">
        <v>26</v>
      </c>
      <c r="B30" s="228">
        <v>68757.710000000006</v>
      </c>
      <c r="C30" s="230">
        <v>68775.740000000005</v>
      </c>
      <c r="D30" s="231"/>
      <c r="E30" s="231">
        <v>0</v>
      </c>
      <c r="F30" s="236">
        <f t="shared" si="0"/>
        <v>0</v>
      </c>
      <c r="G30" s="233">
        <f>+C30+D30-E30</f>
        <v>68775.740000000005</v>
      </c>
      <c r="H30" s="233">
        <v>68775.740000000005</v>
      </c>
      <c r="I30" s="233">
        <v>0</v>
      </c>
      <c r="J30" s="233">
        <v>0</v>
      </c>
      <c r="K30" s="233">
        <f t="shared" si="2"/>
        <v>68775.740000000005</v>
      </c>
      <c r="L30" s="237">
        <f t="shared" si="5"/>
        <v>0</v>
      </c>
      <c r="M30" s="233">
        <f t="shared" si="3"/>
        <v>0</v>
      </c>
      <c r="N30" s="60">
        <v>0</v>
      </c>
    </row>
    <row r="31" spans="1:19" ht="15.75" customHeight="1" x14ac:dyDescent="0.25">
      <c r="A31" s="235" t="s">
        <v>85</v>
      </c>
      <c r="B31" s="228"/>
      <c r="C31" s="228">
        <v>0</v>
      </c>
      <c r="D31" s="231"/>
      <c r="E31" s="231">
        <v>0</v>
      </c>
      <c r="F31" s="236">
        <v>0</v>
      </c>
      <c r="G31" s="233">
        <f t="shared" si="1"/>
        <v>0</v>
      </c>
      <c r="H31" s="233">
        <v>0</v>
      </c>
      <c r="I31" s="233">
        <v>0</v>
      </c>
      <c r="J31" s="233">
        <v>0</v>
      </c>
      <c r="K31" s="233">
        <f t="shared" si="2"/>
        <v>0</v>
      </c>
      <c r="L31" s="237">
        <f t="shared" si="5"/>
        <v>0</v>
      </c>
      <c r="M31" s="233">
        <f t="shared" si="3"/>
        <v>0</v>
      </c>
      <c r="N31" s="60">
        <v>0</v>
      </c>
    </row>
    <row r="32" spans="1:19" ht="15.75" customHeight="1" x14ac:dyDescent="0.25">
      <c r="A32" s="235" t="s">
        <v>84</v>
      </c>
      <c r="B32" s="228">
        <v>2885500</v>
      </c>
      <c r="C32" s="228">
        <v>2150857.3199999998</v>
      </c>
      <c r="D32" s="231"/>
      <c r="E32" s="231">
        <v>1938334.69</v>
      </c>
      <c r="F32" s="236"/>
      <c r="G32" s="233">
        <f t="shared" si="1"/>
        <v>212522.62999999989</v>
      </c>
      <c r="H32" s="233">
        <f>215522.62+0.01</f>
        <v>215522.63</v>
      </c>
      <c r="I32" s="233"/>
      <c r="J32" s="233">
        <v>3000</v>
      </c>
      <c r="K32" s="233">
        <f t="shared" si="2"/>
        <v>212522.63</v>
      </c>
      <c r="L32" s="237">
        <f t="shared" si="5"/>
        <v>0</v>
      </c>
      <c r="M32" s="233">
        <f t="shared" si="3"/>
        <v>0</v>
      </c>
      <c r="N32" s="60">
        <v>0</v>
      </c>
    </row>
    <row r="33" spans="1:18" ht="15.75" customHeight="1" x14ac:dyDescent="0.25">
      <c r="A33" s="62" t="s">
        <v>114</v>
      </c>
      <c r="B33" s="61">
        <v>200000</v>
      </c>
      <c r="C33" s="61">
        <v>200008.61</v>
      </c>
      <c r="D33" s="58"/>
      <c r="E33" s="231">
        <v>114500</v>
      </c>
      <c r="F33" s="60"/>
      <c r="G33" s="56">
        <f t="shared" si="1"/>
        <v>85508.609999999986</v>
      </c>
      <c r="H33" s="56">
        <v>85508.61</v>
      </c>
      <c r="I33" s="56"/>
      <c r="J33" s="56"/>
      <c r="K33" s="56">
        <f t="shared" si="2"/>
        <v>85508.61</v>
      </c>
      <c r="L33" s="73">
        <f t="shared" si="5"/>
        <v>0</v>
      </c>
      <c r="M33" s="56">
        <f t="shared" si="3"/>
        <v>0</v>
      </c>
      <c r="N33" s="60">
        <v>0</v>
      </c>
    </row>
    <row r="34" spans="1:18" ht="15.75" customHeight="1" x14ac:dyDescent="0.25">
      <c r="A34" s="107" t="s">
        <v>92</v>
      </c>
      <c r="B34" s="108"/>
      <c r="C34" s="108"/>
      <c r="D34" s="108"/>
      <c r="E34" s="108">
        <v>0</v>
      </c>
      <c r="F34" s="109">
        <v>0</v>
      </c>
      <c r="G34" s="110">
        <f t="shared" ref="G34" si="7">C34-E34</f>
        <v>0</v>
      </c>
      <c r="H34" s="110">
        <v>173.01</v>
      </c>
      <c r="I34" s="110">
        <v>103243.35</v>
      </c>
      <c r="J34" s="110">
        <f>103243.35+173.01</f>
        <v>103416.36</v>
      </c>
      <c r="K34" s="56">
        <f t="shared" si="2"/>
        <v>0</v>
      </c>
      <c r="L34" s="73">
        <f t="shared" si="5"/>
        <v>0</v>
      </c>
      <c r="M34" s="56">
        <f t="shared" si="3"/>
        <v>0</v>
      </c>
      <c r="N34" s="60">
        <v>0</v>
      </c>
    </row>
    <row r="35" spans="1:18" ht="15.75" customHeight="1" x14ac:dyDescent="0.25">
      <c r="A35" s="59" t="s">
        <v>68</v>
      </c>
      <c r="B35" s="58">
        <f>SUM(B19:B33)</f>
        <v>57761353.890000001</v>
      </c>
      <c r="C35" s="58">
        <f>SUM(C19:C34)</f>
        <v>25393433.75</v>
      </c>
      <c r="D35" s="58">
        <f>SUM(D19:D34)</f>
        <v>0</v>
      </c>
      <c r="E35" s="58">
        <f>SUM(E19:E34)</f>
        <v>19629655.149999999</v>
      </c>
      <c r="F35" s="57"/>
      <c r="G35" s="56">
        <f t="shared" ref="G35:M35" si="8">SUM(G19:G34)</f>
        <v>5763778.6000000006</v>
      </c>
      <c r="H35" s="56">
        <f t="shared" si="8"/>
        <v>5963201.0999999996</v>
      </c>
      <c r="I35" s="56">
        <f t="shared" si="8"/>
        <v>318243.34999999998</v>
      </c>
      <c r="J35" s="56">
        <f t="shared" si="8"/>
        <v>517666.07</v>
      </c>
      <c r="K35" s="56">
        <f t="shared" si="8"/>
        <v>5763778.3799999999</v>
      </c>
      <c r="L35" s="56">
        <f t="shared" si="8"/>
        <v>0.22000000022308086</v>
      </c>
      <c r="M35" s="56">
        <f t="shared" si="8"/>
        <v>0.22000000022308086</v>
      </c>
      <c r="N35" s="60">
        <v>0</v>
      </c>
    </row>
    <row r="36" spans="1:18" ht="15.75" customHeight="1" x14ac:dyDescent="0.25">
      <c r="A36" s="153"/>
      <c r="B36" s="154"/>
      <c r="C36" s="154"/>
      <c r="D36" s="154"/>
      <c r="E36" s="154"/>
      <c r="F36" s="155"/>
      <c r="G36" s="55"/>
      <c r="H36" s="55"/>
      <c r="I36" s="55"/>
      <c r="J36" s="55"/>
      <c r="K36" s="55"/>
      <c r="L36" s="55"/>
      <c r="M36" s="55"/>
      <c r="N36" s="55"/>
    </row>
    <row r="37" spans="1:18" ht="15.75" customHeight="1" x14ac:dyDescent="0.25">
      <c r="A37" s="153"/>
      <c r="B37" s="154"/>
      <c r="C37" s="154"/>
      <c r="D37" s="154"/>
      <c r="E37" s="154"/>
      <c r="F37" s="155"/>
      <c r="G37" s="55"/>
      <c r="H37" s="55"/>
      <c r="I37" s="55"/>
      <c r="J37" s="55"/>
      <c r="K37" s="55"/>
      <c r="L37" s="55"/>
      <c r="M37" s="55"/>
      <c r="N37" s="55"/>
    </row>
    <row r="38" spans="1:18" ht="15.75" customHeight="1" x14ac:dyDescent="0.25">
      <c r="A38" s="153"/>
      <c r="B38" s="154"/>
      <c r="C38" s="154"/>
      <c r="D38" s="154"/>
      <c r="E38" s="154"/>
      <c r="F38" s="155"/>
      <c r="G38" s="55"/>
      <c r="H38" s="55"/>
      <c r="I38" s="55"/>
      <c r="J38" s="55"/>
      <c r="K38" s="55"/>
      <c r="L38" s="55"/>
      <c r="M38" s="55"/>
      <c r="N38" s="55"/>
    </row>
    <row r="39" spans="1:18" ht="15.75" customHeight="1" x14ac:dyDescent="0.25">
      <c r="A39" s="353" t="s">
        <v>97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55"/>
      <c r="N39" s="54"/>
    </row>
    <row r="40" spans="1:18" ht="15.75" customHeight="1" x14ac:dyDescent="0.25">
      <c r="A40" s="353"/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55"/>
      <c r="N40" s="54"/>
    </row>
    <row r="41" spans="1:18" ht="24.75" customHeight="1" x14ac:dyDescent="0.25">
      <c r="A41" s="353"/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55"/>
      <c r="N41" s="54"/>
    </row>
    <row r="42" spans="1:18" ht="15.75" customHeight="1" x14ac:dyDescent="0.2">
      <c r="C42" s="374"/>
      <c r="D42" s="374"/>
      <c r="E42" s="374"/>
      <c r="F42" s="374"/>
      <c r="G42" s="374"/>
      <c r="H42" s="374"/>
      <c r="I42" s="374"/>
      <c r="J42" s="52"/>
      <c r="K42" s="53"/>
      <c r="L42" s="52"/>
      <c r="M42" s="53"/>
      <c r="N42" s="52"/>
      <c r="O42" s="52"/>
      <c r="P42" s="52"/>
      <c r="Q42" s="52"/>
      <c r="R42" s="52"/>
    </row>
    <row r="43" spans="1:18" ht="15.75" hidden="1" customHeight="1" x14ac:dyDescent="0.25">
      <c r="B43" s="354" t="s">
        <v>16</v>
      </c>
      <c r="C43" s="354"/>
      <c r="D43" s="355" t="s">
        <v>17</v>
      </c>
      <c r="E43" s="356"/>
      <c r="F43" s="357"/>
      <c r="G43" s="358" t="s">
        <v>18</v>
      </c>
      <c r="H43" s="358"/>
      <c r="I43" s="211" t="s">
        <v>8</v>
      </c>
      <c r="J43" s="48"/>
      <c r="K43" s="48"/>
      <c r="M43" s="48"/>
    </row>
    <row r="44" spans="1:18" ht="15.75" hidden="1" customHeight="1" x14ac:dyDescent="0.25">
      <c r="B44" s="359" t="s">
        <v>19</v>
      </c>
      <c r="C44" s="359"/>
      <c r="D44" s="355"/>
      <c r="E44" s="356"/>
      <c r="F44" s="357"/>
      <c r="G44" s="360"/>
      <c r="H44" s="360"/>
      <c r="I44" s="44"/>
      <c r="J44" s="48"/>
      <c r="K44" s="45"/>
      <c r="M44" s="47"/>
    </row>
    <row r="45" spans="1:18" ht="15.75" hidden="1" customHeight="1" x14ac:dyDescent="0.25">
      <c r="B45" s="358" t="s">
        <v>20</v>
      </c>
      <c r="C45" s="358"/>
      <c r="D45" s="361"/>
      <c r="E45" s="362"/>
      <c r="F45" s="363"/>
      <c r="G45" s="364"/>
      <c r="H45" s="364"/>
      <c r="I45" s="44" t="e">
        <f>G45/D45</f>
        <v>#DIV/0!</v>
      </c>
      <c r="J45" s="48"/>
      <c r="K45" s="47"/>
    </row>
    <row r="46" spans="1:18" ht="15.75" hidden="1" customHeight="1" x14ac:dyDescent="0.25">
      <c r="B46" s="358" t="s">
        <v>21</v>
      </c>
      <c r="C46" s="358"/>
      <c r="D46" s="361"/>
      <c r="E46" s="362"/>
      <c r="F46" s="363"/>
      <c r="G46" s="364"/>
      <c r="H46" s="364"/>
      <c r="I46" s="44" t="e">
        <f>G46/D46</f>
        <v>#DIV/0!</v>
      </c>
      <c r="J46" s="46"/>
      <c r="K46" s="45"/>
    </row>
    <row r="47" spans="1:18" ht="15.75" hidden="1" customHeight="1" x14ac:dyDescent="0.25">
      <c r="B47" s="358" t="s">
        <v>22</v>
      </c>
      <c r="C47" s="358"/>
      <c r="D47" s="361"/>
      <c r="E47" s="362"/>
      <c r="F47" s="363"/>
      <c r="G47" s="364"/>
      <c r="H47" s="364"/>
      <c r="I47" s="44" t="e">
        <f>G47/D47</f>
        <v>#DIV/0!</v>
      </c>
    </row>
    <row r="48" spans="1:18" ht="15.75" customHeight="1" x14ac:dyDescent="0.2">
      <c r="A48" s="214"/>
      <c r="B48" s="167"/>
      <c r="C48" s="168"/>
      <c r="D48" s="167"/>
      <c r="E48" s="167"/>
      <c r="F48" s="167"/>
      <c r="G48" s="164"/>
      <c r="H48" s="164"/>
      <c r="I48" s="165"/>
      <c r="J48" s="214"/>
      <c r="K48" s="214"/>
      <c r="L48" s="166"/>
    </row>
    <row r="49" spans="1:14" s="38" customFormat="1" ht="13.5" x14ac:dyDescent="0.25">
      <c r="A49" s="383" t="s">
        <v>23</v>
      </c>
      <c r="B49" s="383"/>
      <c r="C49" s="383"/>
      <c r="D49" s="383"/>
      <c r="E49" s="384" t="s">
        <v>24</v>
      </c>
      <c r="F49" s="384"/>
      <c r="G49" s="384"/>
      <c r="H49" s="384"/>
      <c r="I49" s="384"/>
      <c r="J49" s="169"/>
      <c r="K49" s="216" t="s">
        <v>25</v>
      </c>
      <c r="L49" s="216"/>
      <c r="M49" s="212"/>
      <c r="N49" s="212"/>
    </row>
    <row r="50" spans="1:14" s="29" customFormat="1" ht="13.5" x14ac:dyDescent="0.25">
      <c r="A50" s="215"/>
      <c r="B50" s="215"/>
      <c r="C50" s="172"/>
      <c r="D50" s="173"/>
      <c r="E50" s="174"/>
      <c r="F50" s="175"/>
      <c r="G50" s="175"/>
      <c r="H50" s="175"/>
      <c r="I50" s="176"/>
      <c r="J50" s="177"/>
      <c r="K50" s="178"/>
      <c r="L50" s="178"/>
      <c r="M50" s="33"/>
      <c r="N50" s="32"/>
    </row>
    <row r="51" spans="1:14" s="29" customFormat="1" ht="13.5" x14ac:dyDescent="0.25">
      <c r="A51" s="215"/>
      <c r="B51" s="215"/>
      <c r="C51" s="172"/>
      <c r="D51" s="173"/>
      <c r="E51" s="174"/>
      <c r="F51" s="175"/>
      <c r="G51" s="175"/>
      <c r="H51" s="175"/>
      <c r="I51" s="176"/>
      <c r="J51" s="177"/>
      <c r="K51" s="178"/>
      <c r="L51" s="178"/>
      <c r="M51" s="33"/>
      <c r="N51" s="32"/>
    </row>
    <row r="52" spans="1:14" s="29" customFormat="1" ht="26.25" customHeight="1" x14ac:dyDescent="0.25">
      <c r="A52" s="381" t="s">
        <v>98</v>
      </c>
      <c r="B52" s="381"/>
      <c r="C52" s="381"/>
      <c r="D52" s="381"/>
      <c r="E52" s="382" t="s">
        <v>100</v>
      </c>
      <c r="F52" s="382"/>
      <c r="G52" s="382"/>
      <c r="H52" s="382"/>
      <c r="I52" s="382"/>
      <c r="J52" s="180" t="s">
        <v>99</v>
      </c>
      <c r="K52" s="181"/>
      <c r="L52" s="181"/>
      <c r="M52" s="30"/>
      <c r="N52" s="30"/>
    </row>
    <row r="53" spans="1:14" s="23" customFormat="1" ht="15.75" customHeight="1" x14ac:dyDescent="0.3">
      <c r="A53" s="376" t="s">
        <v>66</v>
      </c>
      <c r="B53" s="376"/>
      <c r="C53" s="376"/>
      <c r="D53" s="376"/>
      <c r="E53" s="213"/>
      <c r="F53" s="377" t="s">
        <v>65</v>
      </c>
      <c r="G53" s="377"/>
      <c r="H53" s="377"/>
      <c r="I53" s="183"/>
      <c r="J53" s="377" t="s">
        <v>95</v>
      </c>
      <c r="K53" s="377"/>
      <c r="L53" s="377"/>
      <c r="M53" s="377"/>
    </row>
    <row r="54" spans="1:14" s="23" customFormat="1" ht="15.75" customHeight="1" x14ac:dyDescent="0.3">
      <c r="A54" s="184"/>
      <c r="B54" s="378" t="s">
        <v>107</v>
      </c>
      <c r="C54" s="378"/>
      <c r="D54" s="213"/>
      <c r="E54" s="214"/>
      <c r="F54" s="379" t="s">
        <v>111</v>
      </c>
      <c r="G54" s="379"/>
      <c r="H54" s="379"/>
      <c r="I54" s="379"/>
      <c r="J54" s="378" t="s">
        <v>110</v>
      </c>
      <c r="K54" s="378"/>
      <c r="L54" s="378"/>
      <c r="M54" s="378"/>
    </row>
    <row r="55" spans="1:14" ht="15.75" customHeight="1" x14ac:dyDescent="0.2">
      <c r="A55" s="5"/>
      <c r="B55" s="17"/>
      <c r="C55" s="17"/>
      <c r="D55" s="17"/>
      <c r="G55" s="17"/>
      <c r="H55" s="17"/>
      <c r="J55" s="17"/>
      <c r="K55" s="17"/>
      <c r="L55" s="17"/>
      <c r="M55" s="17"/>
    </row>
    <row r="56" spans="1:14" ht="15.75" customHeight="1" x14ac:dyDescent="0.2"/>
    <row r="57" spans="1:14" ht="15.75" customHeight="1" x14ac:dyDescent="0.2">
      <c r="A57" s="22" t="s">
        <v>64</v>
      </c>
    </row>
    <row r="58" spans="1:14" ht="15.75" customHeight="1" x14ac:dyDescent="0.2">
      <c r="A58" s="22"/>
    </row>
    <row r="59" spans="1:14" ht="15.75" customHeight="1" x14ac:dyDescent="0.2">
      <c r="A59" s="22"/>
    </row>
    <row r="60" spans="1:14" ht="15.75" customHeight="1" x14ac:dyDescent="0.25">
      <c r="A60" s="346" t="s">
        <v>0</v>
      </c>
      <c r="B60" s="346"/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</row>
    <row r="61" spans="1:14" ht="15.75" customHeight="1" x14ac:dyDescent="0.2">
      <c r="B61" s="21"/>
      <c r="C61" s="21"/>
      <c r="D61" s="21"/>
      <c r="E61" s="21"/>
      <c r="F61" s="21"/>
      <c r="G61" s="21"/>
      <c r="H61" s="21"/>
    </row>
    <row r="62" spans="1:14" s="19" customFormat="1" ht="15.75" customHeight="1" x14ac:dyDescent="0.25">
      <c r="A62" s="321" t="s">
        <v>63</v>
      </c>
      <c r="B62" s="321"/>
      <c r="C62" s="321"/>
      <c r="D62" s="207"/>
      <c r="E62" s="321" t="s">
        <v>62</v>
      </c>
      <c r="F62" s="321"/>
      <c r="G62" s="321"/>
      <c r="H62" s="321"/>
      <c r="I62" s="321"/>
      <c r="J62" s="321"/>
      <c r="K62" s="321"/>
      <c r="L62" s="321"/>
      <c r="M62" s="321"/>
      <c r="N62" s="321"/>
    </row>
    <row r="63" spans="1:14" ht="15.75" customHeight="1" x14ac:dyDescent="0.2">
      <c r="A63" s="17"/>
      <c r="B63" s="17"/>
      <c r="C63" s="18"/>
      <c r="D63" s="18"/>
      <c r="F63" s="17"/>
      <c r="G63" s="17"/>
      <c r="H63" s="17"/>
    </row>
    <row r="64" spans="1:14" ht="15.75" customHeight="1" x14ac:dyDescent="0.2">
      <c r="A64" s="16" t="s">
        <v>61</v>
      </c>
      <c r="B64" s="14"/>
      <c r="C64" s="14"/>
      <c r="D64" s="14"/>
      <c r="E64" s="347" t="s">
        <v>60</v>
      </c>
      <c r="F64" s="347"/>
      <c r="G64" s="347"/>
      <c r="H64" s="347"/>
      <c r="I64" s="347"/>
    </row>
    <row r="65" spans="1:14" ht="5.0999999999999996" customHeight="1" x14ac:dyDescent="0.2">
      <c r="A65" s="210"/>
      <c r="B65" s="210"/>
      <c r="C65" s="210"/>
      <c r="D65" s="210"/>
      <c r="E65" s="210"/>
      <c r="F65" s="10"/>
      <c r="G65" s="10"/>
    </row>
    <row r="66" spans="1:14" ht="15.75" customHeight="1" x14ac:dyDescent="0.25">
      <c r="A66" s="348" t="s">
        <v>59</v>
      </c>
      <c r="B66" s="348"/>
      <c r="C66" s="14"/>
      <c r="D66" s="14"/>
      <c r="E66" s="347" t="s">
        <v>58</v>
      </c>
      <c r="F66" s="347"/>
      <c r="G66" s="347"/>
      <c r="H66" s="347"/>
      <c r="I66" s="347"/>
      <c r="J66" s="13"/>
      <c r="K66" s="13"/>
      <c r="L66" s="13"/>
      <c r="M66" s="13"/>
      <c r="N66" s="13"/>
    </row>
    <row r="67" spans="1:14" ht="5.0999999999999996" customHeight="1" x14ac:dyDescent="0.2">
      <c r="A67" s="5"/>
      <c r="B67" s="5"/>
    </row>
    <row r="68" spans="1:14" ht="15.75" customHeight="1" x14ac:dyDescent="0.25">
      <c r="A68" s="3" t="s">
        <v>57</v>
      </c>
      <c r="B68" s="3"/>
      <c r="E68" s="2" t="s">
        <v>56</v>
      </c>
    </row>
    <row r="69" spans="1:14" ht="5.0999999999999996" customHeight="1" x14ac:dyDescent="0.2">
      <c r="A69" s="5"/>
      <c r="B69" s="5"/>
    </row>
    <row r="70" spans="1:14" ht="47.25" customHeight="1" x14ac:dyDescent="0.25">
      <c r="A70" s="11" t="s">
        <v>55</v>
      </c>
      <c r="B70" s="3"/>
      <c r="E70" s="349" t="s">
        <v>54</v>
      </c>
      <c r="F70" s="349"/>
      <c r="G70" s="349"/>
      <c r="H70" s="349"/>
      <c r="I70" s="349"/>
      <c r="J70" s="349"/>
      <c r="K70" s="349"/>
      <c r="L70" s="349"/>
      <c r="M70" s="349"/>
      <c r="N70" s="349"/>
    </row>
    <row r="71" spans="1:14" ht="5.0999999999999996" customHeight="1" x14ac:dyDescent="0.2">
      <c r="A71" s="5"/>
      <c r="B71" s="5"/>
      <c r="E71" s="12"/>
    </row>
    <row r="72" spans="1:14" ht="47.25" customHeight="1" x14ac:dyDescent="0.25">
      <c r="A72" s="11" t="s">
        <v>53</v>
      </c>
      <c r="B72" s="3"/>
      <c r="E72" s="350" t="s">
        <v>52</v>
      </c>
      <c r="F72" s="350"/>
      <c r="G72" s="350"/>
      <c r="H72" s="350"/>
      <c r="I72" s="350"/>
      <c r="J72" s="350"/>
      <c r="K72" s="350"/>
      <c r="L72" s="350"/>
      <c r="M72" s="350"/>
      <c r="N72" s="350"/>
    </row>
    <row r="73" spans="1:14" ht="5.0999999999999996" customHeight="1" x14ac:dyDescent="0.25">
      <c r="A73" s="5"/>
      <c r="B73" s="5"/>
      <c r="E73" s="2"/>
    </row>
    <row r="74" spans="1:14" ht="49.5" customHeight="1" x14ac:dyDescent="0.25">
      <c r="A74" s="11" t="s">
        <v>6</v>
      </c>
      <c r="B74" s="3"/>
      <c r="E74" s="351" t="s">
        <v>51</v>
      </c>
      <c r="F74" s="351"/>
      <c r="G74" s="351"/>
      <c r="H74" s="351"/>
      <c r="I74" s="351"/>
      <c r="J74" s="351"/>
      <c r="K74" s="351"/>
      <c r="L74" s="351"/>
      <c r="M74" s="351"/>
      <c r="N74" s="351"/>
    </row>
    <row r="75" spans="1:14" ht="5.0999999999999996" customHeight="1" x14ac:dyDescent="0.25">
      <c r="A75" s="5"/>
      <c r="B75" s="5"/>
      <c r="E75" s="2"/>
    </row>
    <row r="76" spans="1:14" ht="49.5" customHeight="1" x14ac:dyDescent="0.25">
      <c r="A76" s="11" t="s">
        <v>50</v>
      </c>
      <c r="B76" s="3"/>
      <c r="E76" s="351" t="s">
        <v>49</v>
      </c>
      <c r="F76" s="351"/>
      <c r="G76" s="351"/>
      <c r="H76" s="351"/>
      <c r="I76" s="351"/>
      <c r="J76" s="351"/>
      <c r="K76" s="351"/>
      <c r="L76" s="351"/>
      <c r="M76" s="351"/>
      <c r="N76" s="351"/>
    </row>
    <row r="77" spans="1:14" ht="5.0999999999999996" customHeight="1" x14ac:dyDescent="0.2">
      <c r="A77" s="10"/>
      <c r="B77" s="10"/>
    </row>
    <row r="78" spans="1:14" ht="30.75" customHeight="1" x14ac:dyDescent="0.25">
      <c r="A78" s="9" t="s">
        <v>8</v>
      </c>
      <c r="B78" s="3"/>
      <c r="E78" s="349" t="s">
        <v>48</v>
      </c>
      <c r="F78" s="352"/>
      <c r="G78" s="352"/>
      <c r="H78" s="352"/>
      <c r="I78" s="352"/>
      <c r="J78" s="352"/>
      <c r="K78" s="352"/>
      <c r="L78" s="352"/>
      <c r="M78" s="352"/>
      <c r="N78" s="352"/>
    </row>
    <row r="79" spans="1:14" ht="5.0999999999999996" customHeight="1" x14ac:dyDescent="0.2">
      <c r="A79" s="5"/>
      <c r="B79" s="5"/>
    </row>
    <row r="80" spans="1:14" ht="15.75" customHeight="1" x14ac:dyDescent="0.25">
      <c r="A80" s="3" t="s">
        <v>47</v>
      </c>
      <c r="B80" s="3"/>
      <c r="E80" s="2" t="s">
        <v>46</v>
      </c>
    </row>
    <row r="81" spans="1:14" ht="5.0999999999999996" customHeight="1" x14ac:dyDescent="0.2">
      <c r="A81" s="5"/>
      <c r="B81" s="5"/>
    </row>
    <row r="82" spans="1:14" ht="15.75" customHeight="1" x14ac:dyDescent="0.25">
      <c r="A82" s="8" t="s">
        <v>45</v>
      </c>
      <c r="B82" s="3"/>
      <c r="E82" s="7" t="s">
        <v>44</v>
      </c>
    </row>
    <row r="83" spans="1:14" ht="5.0999999999999996" customHeight="1" x14ac:dyDescent="0.2">
      <c r="A83" s="5"/>
      <c r="B83" s="5"/>
    </row>
    <row r="84" spans="1:14" ht="15.75" customHeight="1" x14ac:dyDescent="0.25">
      <c r="A84" s="3" t="s">
        <v>43</v>
      </c>
      <c r="B84" s="3"/>
      <c r="E84" s="2" t="s">
        <v>42</v>
      </c>
    </row>
    <row r="85" spans="1:14" ht="5.0999999999999996" customHeight="1" x14ac:dyDescent="0.2">
      <c r="A85" s="5"/>
      <c r="B85" s="5"/>
    </row>
    <row r="86" spans="1:14" ht="15.75" customHeight="1" x14ac:dyDescent="0.25">
      <c r="A86" s="3" t="s">
        <v>41</v>
      </c>
      <c r="B86" s="3"/>
      <c r="E86" s="2" t="s">
        <v>40</v>
      </c>
    </row>
    <row r="87" spans="1:14" ht="5.0999999999999996" customHeight="1" x14ac:dyDescent="0.25">
      <c r="A87" s="3"/>
      <c r="B87" s="3"/>
      <c r="E87" s="2"/>
    </row>
    <row r="88" spans="1:14" ht="15.75" customHeight="1" x14ac:dyDescent="0.25">
      <c r="A88" s="8" t="s">
        <v>39</v>
      </c>
      <c r="B88" s="3"/>
      <c r="E88" s="7" t="s">
        <v>38</v>
      </c>
    </row>
    <row r="89" spans="1:14" ht="5.0999999999999996" customHeight="1" x14ac:dyDescent="0.2">
      <c r="A89" s="5"/>
      <c r="B89" s="5"/>
    </row>
    <row r="90" spans="1:14" ht="37.5" customHeight="1" x14ac:dyDescent="0.25">
      <c r="A90" s="6" t="s">
        <v>37</v>
      </c>
      <c r="B90" s="3"/>
      <c r="E90" s="344" t="s">
        <v>36</v>
      </c>
      <c r="F90" s="345"/>
      <c r="G90" s="345"/>
      <c r="H90" s="345"/>
      <c r="I90" s="345"/>
      <c r="J90" s="345"/>
      <c r="K90" s="345"/>
      <c r="L90" s="345"/>
      <c r="M90" s="345"/>
      <c r="N90" s="345"/>
    </row>
    <row r="91" spans="1:14" ht="5.0999999999999996" customHeight="1" x14ac:dyDescent="0.2">
      <c r="A91" s="5"/>
      <c r="B91" s="5"/>
    </row>
    <row r="92" spans="1:14" ht="15.75" customHeight="1" x14ac:dyDescent="0.25">
      <c r="A92" s="3" t="s">
        <v>35</v>
      </c>
      <c r="B92" s="3"/>
      <c r="E92" s="2" t="s">
        <v>34</v>
      </c>
    </row>
    <row r="93" spans="1:14" ht="5.0999999999999996" customHeight="1" x14ac:dyDescent="0.2">
      <c r="A93" s="5"/>
      <c r="B93" s="5"/>
    </row>
    <row r="94" spans="1:14" ht="15.75" customHeight="1" x14ac:dyDescent="0.25">
      <c r="A94" s="3" t="s">
        <v>33</v>
      </c>
      <c r="B94" s="3"/>
      <c r="E94" s="2" t="s">
        <v>32</v>
      </c>
    </row>
    <row r="95" spans="1:14" ht="5.0999999999999996" customHeight="1" x14ac:dyDescent="0.2">
      <c r="A95" s="5"/>
      <c r="B95" s="5"/>
    </row>
    <row r="96" spans="1:14" ht="15.75" customHeight="1" x14ac:dyDescent="0.25">
      <c r="A96" s="3" t="s">
        <v>31</v>
      </c>
      <c r="B96" s="3"/>
      <c r="E96" s="2" t="s">
        <v>30</v>
      </c>
    </row>
    <row r="97" spans="1:5" ht="5.0999999999999996" customHeight="1" x14ac:dyDescent="0.2">
      <c r="A97" s="5"/>
      <c r="B97" s="5"/>
    </row>
    <row r="98" spans="1:5" ht="15.75" customHeight="1" x14ac:dyDescent="0.25">
      <c r="A98" s="3" t="s">
        <v>29</v>
      </c>
      <c r="B98" s="3"/>
      <c r="E98" s="2" t="s">
        <v>28</v>
      </c>
    </row>
    <row r="99" spans="1:5" ht="5.0999999999999996" customHeight="1" x14ac:dyDescent="0.2">
      <c r="A99" s="5"/>
      <c r="B99" s="5"/>
    </row>
    <row r="100" spans="1:5" ht="15.75" customHeight="1" x14ac:dyDescent="0.25">
      <c r="A100" s="4" t="s">
        <v>14</v>
      </c>
      <c r="B100" s="3"/>
      <c r="E100" s="2" t="s">
        <v>27</v>
      </c>
    </row>
  </sheetData>
  <mergeCells count="55">
    <mergeCell ref="C12:C13"/>
    <mergeCell ref="D12:D13"/>
    <mergeCell ref="E12:E13"/>
    <mergeCell ref="A4:N4"/>
    <mergeCell ref="A6:N6"/>
    <mergeCell ref="D7:I7"/>
    <mergeCell ref="C11:G11"/>
    <mergeCell ref="H11:K11"/>
    <mergeCell ref="B44:C44"/>
    <mergeCell ref="D44:F44"/>
    <mergeCell ref="G44:H44"/>
    <mergeCell ref="F12:F13"/>
    <mergeCell ref="G12:G13"/>
    <mergeCell ref="H12:H13"/>
    <mergeCell ref="A39:L41"/>
    <mergeCell ref="C42:I42"/>
    <mergeCell ref="B43:C43"/>
    <mergeCell ref="D43:F43"/>
    <mergeCell ref="G43:H43"/>
    <mergeCell ref="I12:I13"/>
    <mergeCell ref="J12:J13"/>
    <mergeCell ref="K12:K13"/>
    <mergeCell ref="A12:A13"/>
    <mergeCell ref="B12:B13"/>
    <mergeCell ref="A52:D52"/>
    <mergeCell ref="E52:I52"/>
    <mergeCell ref="B45:C45"/>
    <mergeCell ref="D45:F45"/>
    <mergeCell ref="G45:H45"/>
    <mergeCell ref="B46:C46"/>
    <mergeCell ref="D46:F46"/>
    <mergeCell ref="G46:H46"/>
    <mergeCell ref="B47:C47"/>
    <mergeCell ref="D47:F47"/>
    <mergeCell ref="G47:H47"/>
    <mergeCell ref="A49:D49"/>
    <mergeCell ref="E49:I49"/>
    <mergeCell ref="A53:D53"/>
    <mergeCell ref="F53:H53"/>
    <mergeCell ref="J53:M53"/>
    <mergeCell ref="B54:C54"/>
    <mergeCell ref="F54:I54"/>
    <mergeCell ref="J54:M54"/>
    <mergeCell ref="E90:N90"/>
    <mergeCell ref="A60:N60"/>
    <mergeCell ref="A62:C62"/>
    <mergeCell ref="E62:N62"/>
    <mergeCell ref="E64:I64"/>
    <mergeCell ref="A66:B66"/>
    <mergeCell ref="E66:I66"/>
    <mergeCell ref="E70:N70"/>
    <mergeCell ref="E72:N72"/>
    <mergeCell ref="E74:N74"/>
    <mergeCell ref="E76:N76"/>
    <mergeCell ref="E78:N78"/>
  </mergeCells>
  <pageMargins left="0.62992125984251968" right="0.62992125984251968" top="0.39370078740157483" bottom="0.23622047244094491" header="0" footer="0"/>
  <pageSetup scale="70" orientation="landscape" r:id="rId1"/>
  <headerFooter alignWithMargins="0">
    <oddFooter>&amp;R</oddFooter>
  </headerFooter>
  <rowBreaks count="1" manualBreakCount="1">
    <brk id="56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4:S100"/>
  <sheetViews>
    <sheetView showGridLines="0" topLeftCell="E28" zoomScale="130" zoomScaleNormal="130" zoomScaleSheetLayoutView="100" workbookViewId="0">
      <selection activeCell="A2" sqref="A2:N54"/>
    </sheetView>
  </sheetViews>
  <sheetFormatPr baseColWidth="10" defaultRowHeight="12.75" x14ac:dyDescent="0.2"/>
  <cols>
    <col min="1" max="1" width="24.28515625" style="1" customWidth="1"/>
    <col min="2" max="2" width="11.28515625" style="1" customWidth="1"/>
    <col min="3" max="3" width="13.28515625" style="1" customWidth="1"/>
    <col min="4" max="5" width="11.42578125" style="1" customWidth="1"/>
    <col min="6" max="6" width="9.5703125" style="1" customWidth="1"/>
    <col min="7" max="7" width="10.5703125" style="1" customWidth="1"/>
    <col min="8" max="8" width="11.85546875" style="1" customWidth="1"/>
    <col min="9" max="9" width="10.140625" style="1" customWidth="1"/>
    <col min="10" max="10" width="12.140625" style="1" customWidth="1"/>
    <col min="11" max="11" width="17.7109375" style="1" customWidth="1"/>
    <col min="12" max="12" width="10" style="1" customWidth="1"/>
    <col min="13" max="13" width="12.140625" style="1" customWidth="1"/>
    <col min="14" max="14" width="10.7109375" style="1" customWidth="1"/>
    <col min="15" max="15" width="15" style="1" customWidth="1"/>
    <col min="16" max="16" width="12.7109375" style="1" customWidth="1"/>
    <col min="17" max="16384" width="11.42578125" style="1"/>
  </cols>
  <sheetData>
    <row r="4" spans="1:14" ht="15.75" customHeight="1" x14ac:dyDescent="0.25">
      <c r="A4" s="321" t="s">
        <v>83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15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customHeight="1" x14ac:dyDescent="0.25">
      <c r="A6" s="321" t="s">
        <v>0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14" ht="15.75" customHeight="1" x14ac:dyDescent="0.25">
      <c r="A7" s="239"/>
      <c r="B7" s="239"/>
      <c r="C7" s="239"/>
      <c r="D7" s="321" t="s">
        <v>119</v>
      </c>
      <c r="E7" s="321"/>
      <c r="F7" s="321"/>
      <c r="G7" s="321"/>
      <c r="H7" s="321"/>
      <c r="I7" s="321"/>
      <c r="J7" s="239"/>
      <c r="K7" s="239"/>
      <c r="L7" s="239"/>
      <c r="M7" s="239"/>
      <c r="N7" s="239"/>
    </row>
    <row r="8" spans="1:14" ht="15.75" customHeight="1" x14ac:dyDescent="0.25">
      <c r="A8" s="85"/>
      <c r="B8" s="84"/>
      <c r="C8" s="84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</row>
    <row r="9" spans="1:14" ht="15.75" hidden="1" customHeight="1" x14ac:dyDescent="0.25">
      <c r="A9" s="85" t="s">
        <v>1</v>
      </c>
      <c r="B9" s="84"/>
      <c r="C9" s="84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</row>
    <row r="10" spans="1:14" ht="15.75" customHeight="1" x14ac:dyDescent="0.2">
      <c r="B10" s="5"/>
      <c r="C10" s="83"/>
      <c r="D10" s="5"/>
      <c r="E10" s="151"/>
      <c r="F10" s="21"/>
      <c r="G10" s="21"/>
    </row>
    <row r="11" spans="1:14" ht="15.75" customHeight="1" x14ac:dyDescent="0.25">
      <c r="C11" s="322" t="s">
        <v>2</v>
      </c>
      <c r="D11" s="322"/>
      <c r="E11" s="323"/>
      <c r="F11" s="323"/>
      <c r="G11" s="323"/>
      <c r="H11" s="322" t="s">
        <v>3</v>
      </c>
      <c r="I11" s="322"/>
      <c r="J11" s="322"/>
      <c r="K11" s="322"/>
      <c r="L11" s="82"/>
      <c r="M11" s="82"/>
    </row>
    <row r="12" spans="1:14" ht="15.75" customHeight="1" x14ac:dyDescent="0.25">
      <c r="A12" s="324" t="s">
        <v>4</v>
      </c>
      <c r="B12" s="326" t="s">
        <v>82</v>
      </c>
      <c r="C12" s="326" t="s">
        <v>5</v>
      </c>
      <c r="D12" s="326" t="s">
        <v>6</v>
      </c>
      <c r="E12" s="327" t="s">
        <v>7</v>
      </c>
      <c r="F12" s="327" t="s">
        <v>8</v>
      </c>
      <c r="G12" s="324" t="s">
        <v>9</v>
      </c>
      <c r="H12" s="327" t="s">
        <v>10</v>
      </c>
      <c r="I12" s="327" t="s">
        <v>11</v>
      </c>
      <c r="J12" s="327" t="s">
        <v>12</v>
      </c>
      <c r="K12" s="327" t="s">
        <v>13</v>
      </c>
      <c r="L12" s="241"/>
      <c r="M12" s="241"/>
      <c r="N12" s="240" t="s">
        <v>14</v>
      </c>
    </row>
    <row r="13" spans="1:14" ht="39" customHeight="1" x14ac:dyDescent="0.2">
      <c r="A13" s="325"/>
      <c r="B13" s="326"/>
      <c r="C13" s="326"/>
      <c r="D13" s="326"/>
      <c r="E13" s="327"/>
      <c r="F13" s="327"/>
      <c r="G13" s="325"/>
      <c r="H13" s="327"/>
      <c r="I13" s="327"/>
      <c r="J13" s="327"/>
      <c r="K13" s="327"/>
      <c r="L13" s="241"/>
      <c r="M13" s="241"/>
      <c r="N13" s="79" t="s">
        <v>15</v>
      </c>
    </row>
    <row r="14" spans="1:14" ht="15.75" customHeight="1" x14ac:dyDescent="0.25">
      <c r="A14" s="77" t="s">
        <v>81</v>
      </c>
      <c r="B14" s="78"/>
      <c r="C14" s="73">
        <v>3864692.14</v>
      </c>
      <c r="D14" s="58"/>
      <c r="E14" s="58"/>
      <c r="F14" s="60"/>
      <c r="G14" s="56"/>
      <c r="H14" s="56"/>
      <c r="I14" s="56"/>
      <c r="J14" s="56"/>
      <c r="K14" s="75"/>
      <c r="L14" s="75"/>
      <c r="M14" s="75"/>
      <c r="N14" s="72"/>
    </row>
    <row r="15" spans="1:14" ht="15.75" customHeight="1" x14ac:dyDescent="0.25">
      <c r="A15" s="77" t="s">
        <v>80</v>
      </c>
      <c r="B15" s="78"/>
      <c r="C15" s="73"/>
      <c r="D15" s="58"/>
      <c r="E15" s="58"/>
      <c r="F15" s="60"/>
      <c r="G15" s="56"/>
      <c r="H15" s="56"/>
      <c r="I15" s="56"/>
      <c r="J15" s="56"/>
      <c r="K15" s="75"/>
      <c r="L15" s="75"/>
      <c r="M15" s="75"/>
      <c r="N15" s="72"/>
    </row>
    <row r="16" spans="1:14" ht="15.75" customHeight="1" x14ac:dyDescent="0.25">
      <c r="A16" s="77" t="s">
        <v>79</v>
      </c>
      <c r="B16" s="78"/>
      <c r="C16" s="73">
        <v>3241847.02</v>
      </c>
      <c r="D16" s="58"/>
      <c r="E16" s="58"/>
      <c r="F16" s="60"/>
      <c r="G16" s="56"/>
      <c r="H16" s="56"/>
      <c r="I16" s="56"/>
      <c r="J16" s="56"/>
      <c r="K16" s="75"/>
      <c r="L16" s="75"/>
      <c r="M16" s="75"/>
      <c r="N16" s="72"/>
    </row>
    <row r="17" spans="1:19" ht="15.75" customHeight="1" x14ac:dyDescent="0.25">
      <c r="A17" s="77" t="s">
        <v>78</v>
      </c>
      <c r="B17" s="78"/>
      <c r="C17" s="73">
        <v>1586282.88</v>
      </c>
      <c r="D17" s="58"/>
      <c r="E17" s="58"/>
      <c r="F17" s="60"/>
      <c r="G17" s="56"/>
      <c r="H17" s="56"/>
      <c r="I17" s="56"/>
      <c r="J17" s="56"/>
      <c r="K17" s="75"/>
      <c r="L17" s="75"/>
      <c r="M17" s="75"/>
      <c r="N17" s="72"/>
      <c r="O17" s="68"/>
    </row>
    <row r="18" spans="1:19" ht="15.75" customHeight="1" x14ac:dyDescent="0.25">
      <c r="A18" s="77" t="s">
        <v>77</v>
      </c>
      <c r="B18" s="76"/>
      <c r="C18" s="73"/>
      <c r="D18" s="58"/>
      <c r="F18" s="60"/>
      <c r="G18" s="56"/>
      <c r="I18" s="56"/>
      <c r="J18" s="56"/>
      <c r="K18" s="75"/>
      <c r="L18" s="75"/>
      <c r="M18" s="75"/>
      <c r="N18" s="72"/>
      <c r="O18" s="68"/>
    </row>
    <row r="19" spans="1:19" ht="15.75" customHeight="1" x14ac:dyDescent="0.25">
      <c r="A19" s="62" t="s">
        <v>76</v>
      </c>
      <c r="B19" s="74">
        <v>13131151.18</v>
      </c>
      <c r="C19" s="73">
        <f>SUM(C14:C18)</f>
        <v>8692822.0399999991</v>
      </c>
      <c r="D19" s="58"/>
      <c r="E19" s="58">
        <v>6953106.7699999996</v>
      </c>
      <c r="F19" s="271">
        <f>E19/C19</f>
        <v>0.79986760778091348</v>
      </c>
      <c r="G19" s="56">
        <f>+C19+D19-E19</f>
        <v>1739715.2699999996</v>
      </c>
      <c r="H19" s="56">
        <f>1221183.34+526676.39</f>
        <v>1747859.73</v>
      </c>
      <c r="I19" s="56">
        <v>3000</v>
      </c>
      <c r="J19" s="56">
        <f>0.4+9937+583.84+623</f>
        <v>11144.24</v>
      </c>
      <c r="K19" s="56">
        <f t="shared" ref="K19" si="0">+H19+I19-J19</f>
        <v>1739715.49</v>
      </c>
      <c r="L19" s="73">
        <f>+G19-K19</f>
        <v>-0.22000000043772161</v>
      </c>
      <c r="M19" s="73">
        <f t="shared" ref="M19" si="1">G19-K19</f>
        <v>-0.22000000043772161</v>
      </c>
      <c r="N19" s="72">
        <f t="shared" ref="N19" si="2">E19/B19</f>
        <v>0.52951235384375495</v>
      </c>
      <c r="O19" s="68"/>
    </row>
    <row r="20" spans="1:19" ht="15.75" customHeight="1" x14ac:dyDescent="0.25">
      <c r="A20" s="62" t="s">
        <v>75</v>
      </c>
      <c r="B20" s="61">
        <v>16873510</v>
      </c>
      <c r="C20" s="61">
        <v>8167967.9299999997</v>
      </c>
      <c r="D20" s="58"/>
      <c r="E20" s="58">
        <v>6452120.4500000002</v>
      </c>
      <c r="F20" s="60">
        <f t="shared" ref="F20:F30" si="3">E20/C20</f>
        <v>0.78992969919753353</v>
      </c>
      <c r="G20" s="56">
        <f t="shared" ref="G20:G33" si="4">+C20+D20-E20</f>
        <v>1715847.4799999995</v>
      </c>
      <c r="H20" s="56">
        <v>1347097.64</v>
      </c>
      <c r="I20" s="56">
        <v>215000</v>
      </c>
      <c r="J20" s="56">
        <f>126160.95</f>
        <v>126160.95</v>
      </c>
      <c r="K20" s="56">
        <f t="shared" ref="K20:K34" si="5">+H20+I20-J20</f>
        <v>1435936.69</v>
      </c>
      <c r="L20" s="73">
        <f>+G20-K20</f>
        <v>279910.78999999957</v>
      </c>
      <c r="M20" s="56">
        <f t="shared" ref="M20:M34" si="6">G20-K20</f>
        <v>279910.78999999957</v>
      </c>
      <c r="N20" s="60">
        <f t="shared" ref="N20:N29" si="7">E20/B20</f>
        <v>0.38238164140122594</v>
      </c>
      <c r="O20" s="70"/>
      <c r="P20" s="71"/>
      <c r="Q20" s="48"/>
    </row>
    <row r="21" spans="1:19" ht="15.75" customHeight="1" x14ac:dyDescent="0.25">
      <c r="A21" s="62" t="s">
        <v>74</v>
      </c>
      <c r="B21" s="61">
        <v>7436006</v>
      </c>
      <c r="C21" s="61">
        <v>4390907.25</v>
      </c>
      <c r="D21" s="58"/>
      <c r="E21" s="58">
        <v>4280649.3</v>
      </c>
      <c r="F21" s="60">
        <f t="shared" si="3"/>
        <v>0.97488948326111868</v>
      </c>
      <c r="G21" s="56">
        <f t="shared" si="4"/>
        <v>110257.95000000019</v>
      </c>
      <c r="H21" s="56">
        <v>605167.94999999995</v>
      </c>
      <c r="I21" s="56">
        <v>0</v>
      </c>
      <c r="J21" s="56">
        <v>215000</v>
      </c>
      <c r="K21" s="56">
        <f t="shared" si="5"/>
        <v>390167.94999999995</v>
      </c>
      <c r="L21" s="73">
        <f t="shared" ref="L21:L34" si="8">+G21-K21</f>
        <v>-279909.99999999977</v>
      </c>
      <c r="M21" s="56">
        <f t="shared" si="6"/>
        <v>-279909.99999999977</v>
      </c>
      <c r="N21" s="60">
        <f t="shared" si="7"/>
        <v>0.5756651218409452</v>
      </c>
      <c r="O21" s="70"/>
      <c r="P21" s="69"/>
      <c r="Q21" s="45"/>
    </row>
    <row r="22" spans="1:19" ht="15.75" customHeight="1" x14ac:dyDescent="0.25">
      <c r="A22" s="62" t="s">
        <v>73</v>
      </c>
      <c r="B22" s="61">
        <v>281545</v>
      </c>
      <c r="C22" s="63">
        <v>154613.65</v>
      </c>
      <c r="D22" s="104"/>
      <c r="E22" s="58">
        <v>51992.26</v>
      </c>
      <c r="F22" s="60">
        <f>E22/C22</f>
        <v>0.33627212086384356</v>
      </c>
      <c r="G22" s="56">
        <f>+C22+D22-E22</f>
        <v>102621.38999999998</v>
      </c>
      <c r="H22" s="56">
        <v>102621.39</v>
      </c>
      <c r="I22" s="56">
        <v>0</v>
      </c>
      <c r="J22" s="56">
        <v>0</v>
      </c>
      <c r="K22" s="56">
        <f t="shared" si="5"/>
        <v>102621.39</v>
      </c>
      <c r="L22" s="73">
        <f t="shared" si="8"/>
        <v>0</v>
      </c>
      <c r="M22" s="56">
        <f t="shared" si="6"/>
        <v>0</v>
      </c>
      <c r="N22" s="60">
        <f t="shared" si="7"/>
        <v>0.1846676730185228</v>
      </c>
      <c r="O22" s="68"/>
    </row>
    <row r="23" spans="1:19" ht="15.75" customHeight="1" x14ac:dyDescent="0.25">
      <c r="A23" s="62" t="s">
        <v>86</v>
      </c>
      <c r="B23" s="61">
        <v>824025</v>
      </c>
      <c r="C23" s="61">
        <v>545838.69999999995</v>
      </c>
      <c r="D23" s="58"/>
      <c r="E23" s="58">
        <v>464224.5</v>
      </c>
      <c r="F23" s="60">
        <f t="shared" ref="F23:F25" si="9">E23/C23</f>
        <v>0.85047927162365011</v>
      </c>
      <c r="G23" s="56">
        <f>+C23+D23-E23</f>
        <v>81614.199999999953</v>
      </c>
      <c r="H23" s="56">
        <v>81614.2</v>
      </c>
      <c r="I23" s="56">
        <v>0</v>
      </c>
      <c r="J23" s="56">
        <v>0</v>
      </c>
      <c r="K23" s="56">
        <f t="shared" si="5"/>
        <v>81614.2</v>
      </c>
      <c r="L23" s="73">
        <f t="shared" si="8"/>
        <v>0</v>
      </c>
      <c r="M23" s="56">
        <f t="shared" si="6"/>
        <v>0</v>
      </c>
      <c r="N23" s="60">
        <f t="shared" si="7"/>
        <v>0.56336215527441524</v>
      </c>
    </row>
    <row r="24" spans="1:19" ht="15.75" customHeight="1" x14ac:dyDescent="0.25">
      <c r="A24" s="62" t="s">
        <v>72</v>
      </c>
      <c r="B24" s="61">
        <v>600184</v>
      </c>
      <c r="C24" s="61">
        <v>243677.23</v>
      </c>
      <c r="D24" s="58"/>
      <c r="E24" s="58">
        <v>231026.71</v>
      </c>
      <c r="F24" s="60">
        <f t="shared" si="9"/>
        <v>0.94808493185842591</v>
      </c>
      <c r="G24" s="56">
        <f t="shared" si="4"/>
        <v>12650.520000000019</v>
      </c>
      <c r="H24" s="56">
        <v>12650.52</v>
      </c>
      <c r="I24" s="56">
        <v>0</v>
      </c>
      <c r="J24" s="56">
        <v>0</v>
      </c>
      <c r="K24" s="56">
        <f t="shared" si="5"/>
        <v>12650.52</v>
      </c>
      <c r="L24" s="73">
        <f t="shared" si="8"/>
        <v>1.8189894035458565E-11</v>
      </c>
      <c r="M24" s="56">
        <f t="shared" si="6"/>
        <v>1.8189894035458565E-11</v>
      </c>
      <c r="N24" s="60">
        <f t="shared" si="7"/>
        <v>0.3849264725484185</v>
      </c>
    </row>
    <row r="25" spans="1:19" ht="15.75" customHeight="1" x14ac:dyDescent="0.25">
      <c r="A25" s="62" t="s">
        <v>93</v>
      </c>
      <c r="B25" s="61">
        <v>11851740</v>
      </c>
      <c r="C25" s="63">
        <v>6913750.2300000004</v>
      </c>
      <c r="D25" s="104"/>
      <c r="E25" s="104">
        <v>6009310.25</v>
      </c>
      <c r="F25" s="60">
        <f t="shared" si="9"/>
        <v>0.869182433569053</v>
      </c>
      <c r="G25" s="56">
        <f t="shared" si="4"/>
        <v>904439.98000000045</v>
      </c>
      <c r="H25" s="67">
        <v>974736.98</v>
      </c>
      <c r="I25" s="67">
        <v>0</v>
      </c>
      <c r="J25" s="67">
        <f>70297-0.79+0.22</f>
        <v>70296.430000000008</v>
      </c>
      <c r="K25" s="56">
        <f t="shared" si="5"/>
        <v>904440.54999999993</v>
      </c>
      <c r="L25" s="73">
        <f t="shared" si="8"/>
        <v>-0.56999999948311597</v>
      </c>
      <c r="M25" s="56">
        <f t="shared" si="6"/>
        <v>-0.56999999948311597</v>
      </c>
      <c r="N25" s="66">
        <f t="shared" si="7"/>
        <v>0.50704033753693556</v>
      </c>
      <c r="O25" s="48"/>
      <c r="P25" s="65"/>
      <c r="Q25" s="65"/>
      <c r="R25" s="65"/>
      <c r="S25" s="65"/>
    </row>
    <row r="26" spans="1:19" ht="15.75" customHeight="1" x14ac:dyDescent="0.25">
      <c r="A26" s="62" t="s">
        <v>91</v>
      </c>
      <c r="B26" s="61">
        <v>3479677</v>
      </c>
      <c r="C26" s="58">
        <v>2436269.62</v>
      </c>
      <c r="D26" s="104"/>
      <c r="E26" s="58">
        <v>0</v>
      </c>
      <c r="F26" s="66">
        <f t="shared" si="3"/>
        <v>0</v>
      </c>
      <c r="G26" s="67">
        <f>+C26+D26-E26</f>
        <v>2436269.62</v>
      </c>
      <c r="H26" s="56">
        <v>2436269.62</v>
      </c>
      <c r="I26" s="56">
        <v>0</v>
      </c>
      <c r="J26" s="56">
        <v>0</v>
      </c>
      <c r="K26" s="56">
        <f t="shared" si="5"/>
        <v>2436269.62</v>
      </c>
      <c r="L26" s="73">
        <f t="shared" si="8"/>
        <v>0</v>
      </c>
      <c r="M26" s="56">
        <f t="shared" si="6"/>
        <v>0</v>
      </c>
      <c r="N26" s="60">
        <f t="shared" si="7"/>
        <v>0</v>
      </c>
      <c r="O26" s="64"/>
    </row>
    <row r="27" spans="1:19" ht="15.75" customHeight="1" x14ac:dyDescent="0.25">
      <c r="A27" s="62" t="s">
        <v>90</v>
      </c>
      <c r="B27" s="61"/>
      <c r="C27" s="58">
        <v>0</v>
      </c>
      <c r="D27" s="104"/>
      <c r="E27" s="58">
        <v>0</v>
      </c>
      <c r="F27" s="66">
        <v>0</v>
      </c>
      <c r="G27" s="67">
        <f>+C27+D27-E27</f>
        <v>0</v>
      </c>
      <c r="H27" s="56">
        <v>0</v>
      </c>
      <c r="I27" s="56">
        <v>0</v>
      </c>
      <c r="J27" s="56">
        <v>0</v>
      </c>
      <c r="K27" s="56">
        <f>+H27+I27-J27</f>
        <v>0</v>
      </c>
      <c r="L27" s="73">
        <f t="shared" si="8"/>
        <v>0</v>
      </c>
      <c r="M27" s="56">
        <f t="shared" si="6"/>
        <v>0</v>
      </c>
      <c r="N27" s="60">
        <v>0</v>
      </c>
      <c r="O27" s="64"/>
    </row>
    <row r="28" spans="1:19" ht="15.75" customHeight="1" x14ac:dyDescent="0.25">
      <c r="A28" s="62" t="s">
        <v>70</v>
      </c>
      <c r="B28" s="63">
        <v>99465</v>
      </c>
      <c r="C28" s="61">
        <v>103384.58</v>
      </c>
      <c r="D28" s="58"/>
      <c r="E28" s="58">
        <v>87496.99</v>
      </c>
      <c r="F28" s="60">
        <f t="shared" si="3"/>
        <v>0.84632534174825691</v>
      </c>
      <c r="G28" s="67">
        <f>+C28+D28-E28</f>
        <v>15887.589999999997</v>
      </c>
      <c r="H28" s="56">
        <v>15887.59</v>
      </c>
      <c r="I28" s="56">
        <v>0</v>
      </c>
      <c r="J28" s="56">
        <v>0</v>
      </c>
      <c r="K28" s="56">
        <f t="shared" si="5"/>
        <v>15887.59</v>
      </c>
      <c r="L28" s="73">
        <f t="shared" si="8"/>
        <v>0</v>
      </c>
      <c r="M28" s="56">
        <f t="shared" si="6"/>
        <v>0</v>
      </c>
      <c r="N28" s="60">
        <f t="shared" si="7"/>
        <v>0.87967616749610422</v>
      </c>
    </row>
    <row r="29" spans="1:19" ht="15.75" customHeight="1" x14ac:dyDescent="0.25">
      <c r="A29" s="62" t="s">
        <v>69</v>
      </c>
      <c r="B29" s="61">
        <v>29793</v>
      </c>
      <c r="C29" s="61">
        <v>17382.89</v>
      </c>
      <c r="D29" s="58"/>
      <c r="E29" s="58">
        <v>0</v>
      </c>
      <c r="F29" s="60">
        <f t="shared" si="3"/>
        <v>0</v>
      </c>
      <c r="G29" s="56">
        <f t="shared" si="4"/>
        <v>17382.89</v>
      </c>
      <c r="H29" s="56">
        <v>17382.89</v>
      </c>
      <c r="I29" s="56">
        <v>0</v>
      </c>
      <c r="J29" s="56">
        <v>0</v>
      </c>
      <c r="K29" s="56">
        <f t="shared" si="5"/>
        <v>17382.89</v>
      </c>
      <c r="L29" s="73">
        <f t="shared" si="8"/>
        <v>0</v>
      </c>
      <c r="M29" s="56">
        <f t="shared" si="6"/>
        <v>0</v>
      </c>
      <c r="N29" s="60">
        <f t="shared" si="7"/>
        <v>0</v>
      </c>
    </row>
    <row r="30" spans="1:19" ht="15.75" customHeight="1" x14ac:dyDescent="0.25">
      <c r="A30" s="62" t="s">
        <v>26</v>
      </c>
      <c r="B30" s="61">
        <v>68757.710000000006</v>
      </c>
      <c r="C30" s="112">
        <v>68775.740000000005</v>
      </c>
      <c r="D30" s="58"/>
      <c r="E30" s="58">
        <v>0</v>
      </c>
      <c r="F30" s="60">
        <f t="shared" si="3"/>
        <v>0</v>
      </c>
      <c r="G30" s="56">
        <f>+C30+D30-E30</f>
        <v>68775.740000000005</v>
      </c>
      <c r="H30" s="56">
        <v>68775.740000000005</v>
      </c>
      <c r="I30" s="56">
        <v>0</v>
      </c>
      <c r="J30" s="56">
        <v>0</v>
      </c>
      <c r="K30" s="56">
        <f t="shared" si="5"/>
        <v>68775.740000000005</v>
      </c>
      <c r="L30" s="73">
        <f t="shared" si="8"/>
        <v>0</v>
      </c>
      <c r="M30" s="56">
        <f t="shared" si="6"/>
        <v>0</v>
      </c>
      <c r="N30" s="60">
        <v>0</v>
      </c>
    </row>
    <row r="31" spans="1:19" ht="15.75" customHeight="1" x14ac:dyDescent="0.25">
      <c r="A31" s="62" t="s">
        <v>85</v>
      </c>
      <c r="B31" s="61"/>
      <c r="C31" s="61">
        <v>0</v>
      </c>
      <c r="D31" s="58"/>
      <c r="E31" s="58">
        <v>0</v>
      </c>
      <c r="F31" s="60">
        <v>0</v>
      </c>
      <c r="G31" s="56">
        <f t="shared" si="4"/>
        <v>0</v>
      </c>
      <c r="H31" s="56">
        <v>0</v>
      </c>
      <c r="I31" s="56">
        <v>0</v>
      </c>
      <c r="J31" s="56">
        <v>0</v>
      </c>
      <c r="K31" s="56">
        <f t="shared" si="5"/>
        <v>0</v>
      </c>
      <c r="L31" s="73">
        <f t="shared" si="8"/>
        <v>0</v>
      </c>
      <c r="M31" s="56">
        <f t="shared" si="6"/>
        <v>0</v>
      </c>
      <c r="N31" s="60">
        <v>0</v>
      </c>
    </row>
    <row r="32" spans="1:19" ht="15.75" customHeight="1" x14ac:dyDescent="0.25">
      <c r="A32" s="62" t="s">
        <v>84</v>
      </c>
      <c r="B32" s="61">
        <v>2885500</v>
      </c>
      <c r="C32" s="61">
        <v>2150857.3199999998</v>
      </c>
      <c r="D32" s="58"/>
      <c r="E32" s="58">
        <v>1938334.69</v>
      </c>
      <c r="F32" s="60"/>
      <c r="G32" s="56">
        <f t="shared" si="4"/>
        <v>212522.62999999989</v>
      </c>
      <c r="H32" s="56">
        <f>215522.62+0.01</f>
        <v>215522.63</v>
      </c>
      <c r="I32" s="56"/>
      <c r="J32" s="56">
        <v>3000</v>
      </c>
      <c r="K32" s="56">
        <f t="shared" si="5"/>
        <v>212522.63</v>
      </c>
      <c r="L32" s="73">
        <f t="shared" si="8"/>
        <v>0</v>
      </c>
      <c r="M32" s="56">
        <f t="shared" si="6"/>
        <v>0</v>
      </c>
      <c r="N32" s="60">
        <v>0</v>
      </c>
    </row>
    <row r="33" spans="1:18" ht="15.75" customHeight="1" x14ac:dyDescent="0.25">
      <c r="A33" s="62" t="s">
        <v>114</v>
      </c>
      <c r="B33" s="61">
        <v>200000</v>
      </c>
      <c r="C33" s="61">
        <v>200008.61</v>
      </c>
      <c r="D33" s="58"/>
      <c r="E33" s="58">
        <v>114500</v>
      </c>
      <c r="F33" s="60"/>
      <c r="G33" s="56">
        <f t="shared" si="4"/>
        <v>85508.609999999986</v>
      </c>
      <c r="H33" s="56">
        <v>85508.61</v>
      </c>
      <c r="I33" s="56"/>
      <c r="J33" s="56"/>
      <c r="K33" s="56">
        <f t="shared" si="5"/>
        <v>85508.61</v>
      </c>
      <c r="L33" s="73">
        <f t="shared" si="8"/>
        <v>0</v>
      </c>
      <c r="M33" s="56">
        <f t="shared" si="6"/>
        <v>0</v>
      </c>
      <c r="N33" s="60">
        <v>0</v>
      </c>
    </row>
    <row r="34" spans="1:18" ht="15.75" customHeight="1" x14ac:dyDescent="0.25">
      <c r="A34" s="107" t="s">
        <v>92</v>
      </c>
      <c r="B34" s="268"/>
      <c r="C34" s="268"/>
      <c r="D34" s="268"/>
      <c r="E34" s="268">
        <v>0</v>
      </c>
      <c r="F34" s="269">
        <v>0</v>
      </c>
      <c r="G34" s="270">
        <f t="shared" ref="G34" si="10">C34-E34</f>
        <v>0</v>
      </c>
      <c r="H34" s="270">
        <v>173.01</v>
      </c>
      <c r="I34" s="270">
        <v>103243.35</v>
      </c>
      <c r="J34" s="270">
        <f>103243.35+173.01</f>
        <v>103416.36</v>
      </c>
      <c r="K34" s="56">
        <f t="shared" si="5"/>
        <v>0</v>
      </c>
      <c r="L34" s="73">
        <f t="shared" si="8"/>
        <v>0</v>
      </c>
      <c r="M34" s="56">
        <f t="shared" si="6"/>
        <v>0</v>
      </c>
      <c r="N34" s="60">
        <v>0</v>
      </c>
    </row>
    <row r="35" spans="1:18" ht="15.75" customHeight="1" x14ac:dyDescent="0.25">
      <c r="A35" s="59" t="s">
        <v>68</v>
      </c>
      <c r="B35" s="58">
        <f>SUM(B19:B33)</f>
        <v>57761353.890000001</v>
      </c>
      <c r="C35" s="58">
        <f>SUM(C19:C34)</f>
        <v>34086255.789999992</v>
      </c>
      <c r="D35" s="58">
        <f>SUM(D19:D34)</f>
        <v>0</v>
      </c>
      <c r="E35" s="58">
        <f>SUM(E19:E34)</f>
        <v>26582761.920000002</v>
      </c>
      <c r="F35" s="57"/>
      <c r="G35" s="56">
        <f t="shared" ref="G35:M35" si="11">SUM(G19:G34)</f>
        <v>7503493.8699999992</v>
      </c>
      <c r="H35" s="56">
        <f>SUM(H19:H34)</f>
        <v>7711268.5</v>
      </c>
      <c r="I35" s="56">
        <f t="shared" si="11"/>
        <v>321243.34999999998</v>
      </c>
      <c r="J35" s="56">
        <f t="shared" si="11"/>
        <v>529017.98</v>
      </c>
      <c r="K35" s="56">
        <f t="shared" si="11"/>
        <v>7503493.8700000001</v>
      </c>
      <c r="L35" s="56">
        <f t="shared" si="11"/>
        <v>-9.822542779147625E-11</v>
      </c>
      <c r="M35" s="56">
        <f t="shared" si="11"/>
        <v>-9.822542779147625E-11</v>
      </c>
      <c r="N35" s="60">
        <v>0</v>
      </c>
    </row>
    <row r="36" spans="1:18" ht="15.75" customHeight="1" x14ac:dyDescent="0.25">
      <c r="A36" s="153"/>
      <c r="B36" s="154"/>
      <c r="C36" s="154"/>
      <c r="D36" s="154"/>
      <c r="E36" s="154"/>
      <c r="F36" s="155"/>
      <c r="G36" s="55"/>
      <c r="H36" s="55"/>
      <c r="I36" s="55"/>
      <c r="J36" s="55"/>
      <c r="K36" s="55"/>
      <c r="L36" s="55"/>
      <c r="M36" s="55"/>
      <c r="N36" s="55"/>
    </row>
    <row r="37" spans="1:18" ht="15.75" customHeight="1" x14ac:dyDescent="0.25">
      <c r="A37" s="153"/>
      <c r="B37" s="154"/>
      <c r="C37" s="154"/>
      <c r="D37" s="154"/>
      <c r="E37" s="154"/>
      <c r="F37" s="155"/>
      <c r="G37" s="55"/>
      <c r="H37" s="55"/>
      <c r="I37" s="55"/>
      <c r="J37" s="55"/>
      <c r="K37" s="55"/>
      <c r="L37" s="55"/>
      <c r="M37" s="55"/>
      <c r="N37" s="55"/>
    </row>
    <row r="38" spans="1:18" ht="15.75" customHeight="1" x14ac:dyDescent="0.25">
      <c r="A38" s="153"/>
      <c r="B38" s="154"/>
      <c r="C38" s="154"/>
      <c r="D38" s="154"/>
      <c r="E38" s="154"/>
      <c r="F38" s="155"/>
      <c r="G38" s="55"/>
      <c r="H38" s="55"/>
      <c r="I38" s="55"/>
      <c r="J38" s="55"/>
      <c r="K38" s="55"/>
      <c r="L38" s="55"/>
      <c r="M38" s="55"/>
      <c r="N38" s="55"/>
    </row>
    <row r="39" spans="1:18" ht="15.75" customHeight="1" x14ac:dyDescent="0.25">
      <c r="A39" s="353" t="s">
        <v>97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55"/>
      <c r="N39" s="54"/>
    </row>
    <row r="40" spans="1:18" ht="15.75" customHeight="1" x14ac:dyDescent="0.25">
      <c r="A40" s="353"/>
      <c r="B40" s="353"/>
      <c r="C40" s="353"/>
      <c r="D40" s="353"/>
      <c r="E40" s="353"/>
      <c r="F40" s="353"/>
      <c r="G40" s="353"/>
      <c r="H40" s="353"/>
      <c r="I40" s="353"/>
      <c r="J40" s="353"/>
      <c r="K40" s="353"/>
      <c r="L40" s="353"/>
      <c r="M40" s="55"/>
      <c r="N40" s="54"/>
    </row>
    <row r="41" spans="1:18" ht="24.75" customHeight="1" x14ac:dyDescent="0.25">
      <c r="A41" s="353"/>
      <c r="B41" s="353"/>
      <c r="C41" s="353"/>
      <c r="D41" s="353"/>
      <c r="E41" s="353"/>
      <c r="F41" s="353"/>
      <c r="G41" s="353"/>
      <c r="H41" s="353"/>
      <c r="I41" s="353"/>
      <c r="J41" s="353"/>
      <c r="K41" s="353"/>
      <c r="L41" s="353"/>
      <c r="M41" s="55"/>
      <c r="N41" s="54"/>
    </row>
    <row r="42" spans="1:18" ht="15.75" customHeight="1" x14ac:dyDescent="0.2">
      <c r="C42" s="374"/>
      <c r="D42" s="374"/>
      <c r="E42" s="374"/>
      <c r="F42" s="374"/>
      <c r="G42" s="374"/>
      <c r="H42" s="374"/>
      <c r="I42" s="374"/>
      <c r="J42" s="52"/>
      <c r="K42" s="53"/>
      <c r="L42" s="52"/>
      <c r="M42" s="53"/>
      <c r="N42" s="52"/>
      <c r="O42" s="52"/>
      <c r="P42" s="52"/>
      <c r="Q42" s="52"/>
      <c r="R42" s="52"/>
    </row>
    <row r="43" spans="1:18" ht="15.75" hidden="1" customHeight="1" x14ac:dyDescent="0.25">
      <c r="B43" s="354" t="s">
        <v>16</v>
      </c>
      <c r="C43" s="354"/>
      <c r="D43" s="355" t="s">
        <v>17</v>
      </c>
      <c r="E43" s="356"/>
      <c r="F43" s="357"/>
      <c r="G43" s="358" t="s">
        <v>18</v>
      </c>
      <c r="H43" s="358"/>
      <c r="I43" s="243" t="s">
        <v>8</v>
      </c>
      <c r="J43" s="48"/>
      <c r="K43" s="48"/>
      <c r="M43" s="48"/>
    </row>
    <row r="44" spans="1:18" ht="15.75" hidden="1" customHeight="1" x14ac:dyDescent="0.25">
      <c r="B44" s="359" t="s">
        <v>19</v>
      </c>
      <c r="C44" s="359"/>
      <c r="D44" s="355"/>
      <c r="E44" s="356"/>
      <c r="F44" s="357"/>
      <c r="G44" s="360"/>
      <c r="H44" s="360"/>
      <c r="I44" s="44"/>
      <c r="J44" s="48"/>
      <c r="K44" s="45"/>
      <c r="M44" s="47"/>
    </row>
    <row r="45" spans="1:18" ht="15.75" hidden="1" customHeight="1" x14ac:dyDescent="0.25">
      <c r="B45" s="358" t="s">
        <v>20</v>
      </c>
      <c r="C45" s="358"/>
      <c r="D45" s="361"/>
      <c r="E45" s="362"/>
      <c r="F45" s="363"/>
      <c r="G45" s="364"/>
      <c r="H45" s="364"/>
      <c r="I45" s="44" t="e">
        <f>G45/D45</f>
        <v>#DIV/0!</v>
      </c>
      <c r="J45" s="48"/>
      <c r="K45" s="47"/>
    </row>
    <row r="46" spans="1:18" ht="15.75" hidden="1" customHeight="1" x14ac:dyDescent="0.25">
      <c r="B46" s="358" t="s">
        <v>21</v>
      </c>
      <c r="C46" s="358"/>
      <c r="D46" s="361"/>
      <c r="E46" s="362"/>
      <c r="F46" s="363"/>
      <c r="G46" s="364"/>
      <c r="H46" s="364"/>
      <c r="I46" s="44" t="e">
        <f>G46/D46</f>
        <v>#DIV/0!</v>
      </c>
      <c r="J46" s="46"/>
      <c r="K46" s="45"/>
    </row>
    <row r="47" spans="1:18" ht="15.75" hidden="1" customHeight="1" x14ac:dyDescent="0.25">
      <c r="B47" s="358" t="s">
        <v>22</v>
      </c>
      <c r="C47" s="358"/>
      <c r="D47" s="361"/>
      <c r="E47" s="362"/>
      <c r="F47" s="363"/>
      <c r="G47" s="364"/>
      <c r="H47" s="364"/>
      <c r="I47" s="44" t="e">
        <f>G47/D47</f>
        <v>#DIV/0!</v>
      </c>
    </row>
    <row r="48" spans="1:18" ht="15.75" customHeight="1" x14ac:dyDescent="0.2">
      <c r="A48" s="246"/>
      <c r="B48" s="167"/>
      <c r="C48" s="168"/>
      <c r="D48" s="167"/>
      <c r="E48" s="167"/>
      <c r="F48" s="167"/>
      <c r="G48" s="164"/>
      <c r="H48" s="164"/>
      <c r="I48" s="165"/>
      <c r="J48" s="246"/>
      <c r="K48" s="246"/>
      <c r="L48" s="166"/>
    </row>
    <row r="49" spans="1:14" s="38" customFormat="1" ht="13.5" x14ac:dyDescent="0.25">
      <c r="A49" s="383" t="s">
        <v>23</v>
      </c>
      <c r="B49" s="383"/>
      <c r="C49" s="383"/>
      <c r="D49" s="383"/>
      <c r="E49" s="384" t="s">
        <v>24</v>
      </c>
      <c r="F49" s="384"/>
      <c r="G49" s="384"/>
      <c r="H49" s="384"/>
      <c r="I49" s="384"/>
      <c r="J49" s="169"/>
      <c r="K49" s="248" t="s">
        <v>25</v>
      </c>
      <c r="L49" s="248"/>
      <c r="M49" s="244"/>
      <c r="N49" s="244"/>
    </row>
    <row r="50" spans="1:14" s="29" customFormat="1" ht="13.5" x14ac:dyDescent="0.25">
      <c r="A50" s="247"/>
      <c r="B50" s="247"/>
      <c r="C50" s="172"/>
      <c r="D50" s="173"/>
      <c r="E50" s="174"/>
      <c r="F50" s="175"/>
      <c r="G50" s="175"/>
      <c r="H50" s="175"/>
      <c r="I50" s="176"/>
      <c r="J50" s="177"/>
      <c r="K50" s="178"/>
      <c r="L50" s="178"/>
      <c r="M50" s="33"/>
      <c r="N50" s="32"/>
    </row>
    <row r="51" spans="1:14" s="29" customFormat="1" ht="13.5" x14ac:dyDescent="0.25">
      <c r="A51" s="247"/>
      <c r="B51" s="247"/>
      <c r="C51" s="172"/>
      <c r="D51" s="173"/>
      <c r="E51" s="174"/>
      <c r="F51" s="175"/>
      <c r="G51" s="175"/>
      <c r="H51" s="175"/>
      <c r="I51" s="176"/>
      <c r="J51" s="177"/>
      <c r="K51" s="178"/>
      <c r="L51" s="178"/>
      <c r="M51" s="33"/>
      <c r="N51" s="32"/>
    </row>
    <row r="52" spans="1:14" s="29" customFormat="1" ht="26.25" customHeight="1" x14ac:dyDescent="0.25">
      <c r="A52" s="381" t="s">
        <v>98</v>
      </c>
      <c r="B52" s="381"/>
      <c r="C52" s="381"/>
      <c r="D52" s="381"/>
      <c r="E52" s="382" t="s">
        <v>100</v>
      </c>
      <c r="F52" s="382"/>
      <c r="G52" s="382"/>
      <c r="H52" s="382"/>
      <c r="I52" s="382"/>
      <c r="J52" s="180" t="s">
        <v>99</v>
      </c>
      <c r="K52" s="181"/>
      <c r="L52" s="181"/>
      <c r="M52" s="30"/>
      <c r="N52" s="30"/>
    </row>
    <row r="53" spans="1:14" s="23" customFormat="1" ht="15.75" customHeight="1" x14ac:dyDescent="0.3">
      <c r="A53" s="376" t="s">
        <v>66</v>
      </c>
      <c r="B53" s="376"/>
      <c r="C53" s="376"/>
      <c r="D53" s="376"/>
      <c r="E53" s="245"/>
      <c r="F53" s="377" t="s">
        <v>65</v>
      </c>
      <c r="G53" s="377"/>
      <c r="H53" s="377"/>
      <c r="I53" s="183"/>
      <c r="J53" s="377" t="s">
        <v>95</v>
      </c>
      <c r="K53" s="377"/>
      <c r="L53" s="377"/>
      <c r="M53" s="377"/>
    </row>
    <row r="54" spans="1:14" s="23" customFormat="1" ht="15.75" customHeight="1" x14ac:dyDescent="0.3">
      <c r="A54" s="184"/>
      <c r="B54" s="378" t="s">
        <v>107</v>
      </c>
      <c r="C54" s="378"/>
      <c r="D54" s="245"/>
      <c r="E54" s="246"/>
      <c r="F54" s="379" t="s">
        <v>111</v>
      </c>
      <c r="G54" s="379"/>
      <c r="H54" s="379"/>
      <c r="I54" s="379"/>
      <c r="J54" s="378" t="s">
        <v>110</v>
      </c>
      <c r="K54" s="378"/>
      <c r="L54" s="378"/>
      <c r="M54" s="378"/>
    </row>
    <row r="55" spans="1:14" ht="15.75" customHeight="1" x14ac:dyDescent="0.2">
      <c r="A55" s="5"/>
      <c r="B55" s="17"/>
      <c r="C55" s="17"/>
      <c r="D55" s="17"/>
      <c r="G55" s="17"/>
      <c r="H55" s="17"/>
      <c r="J55" s="17"/>
      <c r="K55" s="17"/>
      <c r="L55" s="17"/>
      <c r="M55" s="17"/>
    </row>
    <row r="56" spans="1:14" ht="15.75" customHeight="1" x14ac:dyDescent="0.2"/>
    <row r="57" spans="1:14" ht="15.75" customHeight="1" x14ac:dyDescent="0.2">
      <c r="A57" s="22" t="s">
        <v>64</v>
      </c>
    </row>
    <row r="58" spans="1:14" ht="15.75" customHeight="1" x14ac:dyDescent="0.2">
      <c r="A58" s="22"/>
    </row>
    <row r="59" spans="1:14" ht="15.75" customHeight="1" x14ac:dyDescent="0.2">
      <c r="A59" s="22"/>
    </row>
    <row r="60" spans="1:14" ht="15.75" customHeight="1" x14ac:dyDescent="0.25">
      <c r="A60" s="346" t="s">
        <v>0</v>
      </c>
      <c r="B60" s="346"/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</row>
    <row r="61" spans="1:14" ht="15.75" customHeight="1" x14ac:dyDescent="0.2">
      <c r="B61" s="21"/>
      <c r="C61" s="21"/>
      <c r="D61" s="21"/>
      <c r="E61" s="21"/>
      <c r="F61" s="21"/>
      <c r="G61" s="21"/>
      <c r="H61" s="21"/>
    </row>
    <row r="62" spans="1:14" s="19" customFormat="1" ht="15.75" customHeight="1" x14ac:dyDescent="0.25">
      <c r="A62" s="321" t="s">
        <v>63</v>
      </c>
      <c r="B62" s="321"/>
      <c r="C62" s="321"/>
      <c r="D62" s="239"/>
      <c r="E62" s="321" t="s">
        <v>62</v>
      </c>
      <c r="F62" s="321"/>
      <c r="G62" s="321"/>
      <c r="H62" s="321"/>
      <c r="I62" s="321"/>
      <c r="J62" s="321"/>
      <c r="K62" s="321"/>
      <c r="L62" s="321"/>
      <c r="M62" s="321"/>
      <c r="N62" s="321"/>
    </row>
    <row r="63" spans="1:14" ht="15.75" customHeight="1" x14ac:dyDescent="0.2">
      <c r="A63" s="17"/>
      <c r="B63" s="17"/>
      <c r="C63" s="18"/>
      <c r="D63" s="18"/>
      <c r="F63" s="17"/>
      <c r="G63" s="17"/>
      <c r="H63" s="17"/>
    </row>
    <row r="64" spans="1:14" ht="15.75" customHeight="1" x14ac:dyDescent="0.2">
      <c r="A64" s="16" t="s">
        <v>61</v>
      </c>
      <c r="B64" s="14"/>
      <c r="C64" s="14"/>
      <c r="D64" s="14"/>
      <c r="E64" s="347" t="s">
        <v>60</v>
      </c>
      <c r="F64" s="347"/>
      <c r="G64" s="347"/>
      <c r="H64" s="347"/>
      <c r="I64" s="347"/>
    </row>
    <row r="65" spans="1:14" ht="5.0999999999999996" customHeight="1" x14ac:dyDescent="0.2">
      <c r="A65" s="242"/>
      <c r="B65" s="242"/>
      <c r="C65" s="242"/>
      <c r="D65" s="242"/>
      <c r="E65" s="242"/>
      <c r="F65" s="10"/>
      <c r="G65" s="10"/>
    </row>
    <row r="66" spans="1:14" ht="15.75" customHeight="1" x14ac:dyDescent="0.25">
      <c r="A66" s="348" t="s">
        <v>59</v>
      </c>
      <c r="B66" s="348"/>
      <c r="C66" s="14"/>
      <c r="D66" s="14"/>
      <c r="E66" s="347" t="s">
        <v>58</v>
      </c>
      <c r="F66" s="347"/>
      <c r="G66" s="347"/>
      <c r="H66" s="347"/>
      <c r="I66" s="347"/>
      <c r="J66" s="13"/>
      <c r="K66" s="13"/>
      <c r="L66" s="13"/>
      <c r="M66" s="13"/>
      <c r="N66" s="13"/>
    </row>
    <row r="67" spans="1:14" ht="5.0999999999999996" customHeight="1" x14ac:dyDescent="0.2">
      <c r="A67" s="5"/>
      <c r="B67" s="5"/>
    </row>
    <row r="68" spans="1:14" ht="15.75" customHeight="1" x14ac:dyDescent="0.25">
      <c r="A68" s="3" t="s">
        <v>57</v>
      </c>
      <c r="B68" s="3"/>
      <c r="E68" s="2" t="s">
        <v>56</v>
      </c>
    </row>
    <row r="69" spans="1:14" ht="5.0999999999999996" customHeight="1" x14ac:dyDescent="0.2">
      <c r="A69" s="5"/>
      <c r="B69" s="5"/>
    </row>
    <row r="70" spans="1:14" ht="47.25" customHeight="1" x14ac:dyDescent="0.25">
      <c r="A70" s="11" t="s">
        <v>55</v>
      </c>
      <c r="B70" s="3"/>
      <c r="E70" s="349" t="s">
        <v>54</v>
      </c>
      <c r="F70" s="349"/>
      <c r="G70" s="349"/>
      <c r="H70" s="349"/>
      <c r="I70" s="349"/>
      <c r="J70" s="349"/>
      <c r="K70" s="349"/>
      <c r="L70" s="349"/>
      <c r="M70" s="349"/>
      <c r="N70" s="349"/>
    </row>
    <row r="71" spans="1:14" ht="5.0999999999999996" customHeight="1" x14ac:dyDescent="0.2">
      <c r="A71" s="5"/>
      <c r="B71" s="5"/>
      <c r="E71" s="12"/>
    </row>
    <row r="72" spans="1:14" ht="47.25" customHeight="1" x14ac:dyDescent="0.25">
      <c r="A72" s="11" t="s">
        <v>53</v>
      </c>
      <c r="B72" s="3"/>
      <c r="E72" s="350" t="s">
        <v>52</v>
      </c>
      <c r="F72" s="350"/>
      <c r="G72" s="350"/>
      <c r="H72" s="350"/>
      <c r="I72" s="350"/>
      <c r="J72" s="350"/>
      <c r="K72" s="350"/>
      <c r="L72" s="350"/>
      <c r="M72" s="350"/>
      <c r="N72" s="350"/>
    </row>
    <row r="73" spans="1:14" ht="5.0999999999999996" customHeight="1" x14ac:dyDescent="0.25">
      <c r="A73" s="5"/>
      <c r="B73" s="5"/>
      <c r="E73" s="2"/>
    </row>
    <row r="74" spans="1:14" ht="49.5" customHeight="1" x14ac:dyDescent="0.25">
      <c r="A74" s="11" t="s">
        <v>6</v>
      </c>
      <c r="B74" s="3"/>
      <c r="E74" s="351" t="s">
        <v>51</v>
      </c>
      <c r="F74" s="351"/>
      <c r="G74" s="351"/>
      <c r="H74" s="351"/>
      <c r="I74" s="351"/>
      <c r="J74" s="351"/>
      <c r="K74" s="351"/>
      <c r="L74" s="351"/>
      <c r="M74" s="351"/>
      <c r="N74" s="351"/>
    </row>
    <row r="75" spans="1:14" ht="5.0999999999999996" customHeight="1" x14ac:dyDescent="0.25">
      <c r="A75" s="5"/>
      <c r="B75" s="5"/>
      <c r="E75" s="2"/>
    </row>
    <row r="76" spans="1:14" ht="49.5" customHeight="1" x14ac:dyDescent="0.25">
      <c r="A76" s="11" t="s">
        <v>50</v>
      </c>
      <c r="B76" s="3"/>
      <c r="E76" s="351" t="s">
        <v>49</v>
      </c>
      <c r="F76" s="351"/>
      <c r="G76" s="351"/>
      <c r="H76" s="351"/>
      <c r="I76" s="351"/>
      <c r="J76" s="351"/>
      <c r="K76" s="351"/>
      <c r="L76" s="351"/>
      <c r="M76" s="351"/>
      <c r="N76" s="351"/>
    </row>
    <row r="77" spans="1:14" ht="5.0999999999999996" customHeight="1" x14ac:dyDescent="0.2">
      <c r="A77" s="10"/>
      <c r="B77" s="10"/>
    </row>
    <row r="78" spans="1:14" ht="30.75" customHeight="1" x14ac:dyDescent="0.25">
      <c r="A78" s="9" t="s">
        <v>8</v>
      </c>
      <c r="B78" s="3"/>
      <c r="E78" s="349" t="s">
        <v>48</v>
      </c>
      <c r="F78" s="352"/>
      <c r="G78" s="352"/>
      <c r="H78" s="352"/>
      <c r="I78" s="352"/>
      <c r="J78" s="352"/>
      <c r="K78" s="352"/>
      <c r="L78" s="352"/>
      <c r="M78" s="352"/>
      <c r="N78" s="352"/>
    </row>
    <row r="79" spans="1:14" ht="5.0999999999999996" customHeight="1" x14ac:dyDescent="0.2">
      <c r="A79" s="5"/>
      <c r="B79" s="5"/>
    </row>
    <row r="80" spans="1:14" ht="15.75" customHeight="1" x14ac:dyDescent="0.25">
      <c r="A80" s="3" t="s">
        <v>47</v>
      </c>
      <c r="B80" s="3"/>
      <c r="E80" s="2" t="s">
        <v>46</v>
      </c>
    </row>
    <row r="81" spans="1:14" ht="5.0999999999999996" customHeight="1" x14ac:dyDescent="0.2">
      <c r="A81" s="5"/>
      <c r="B81" s="5"/>
    </row>
    <row r="82" spans="1:14" ht="15.75" customHeight="1" x14ac:dyDescent="0.25">
      <c r="A82" s="8" t="s">
        <v>45</v>
      </c>
      <c r="B82" s="3"/>
      <c r="E82" s="7" t="s">
        <v>44</v>
      </c>
    </row>
    <row r="83" spans="1:14" ht="5.0999999999999996" customHeight="1" x14ac:dyDescent="0.2">
      <c r="A83" s="5"/>
      <c r="B83" s="5"/>
    </row>
    <row r="84" spans="1:14" ht="15.75" customHeight="1" x14ac:dyDescent="0.25">
      <c r="A84" s="3" t="s">
        <v>43</v>
      </c>
      <c r="B84" s="3"/>
      <c r="E84" s="2" t="s">
        <v>42</v>
      </c>
    </row>
    <row r="85" spans="1:14" ht="5.0999999999999996" customHeight="1" x14ac:dyDescent="0.2">
      <c r="A85" s="5"/>
      <c r="B85" s="5"/>
    </row>
    <row r="86" spans="1:14" ht="15.75" customHeight="1" x14ac:dyDescent="0.25">
      <c r="A86" s="3" t="s">
        <v>41</v>
      </c>
      <c r="B86" s="3"/>
      <c r="E86" s="2" t="s">
        <v>40</v>
      </c>
    </row>
    <row r="87" spans="1:14" ht="5.0999999999999996" customHeight="1" x14ac:dyDescent="0.25">
      <c r="A87" s="3"/>
      <c r="B87" s="3"/>
      <c r="E87" s="2"/>
    </row>
    <row r="88" spans="1:14" ht="15.75" customHeight="1" x14ac:dyDescent="0.25">
      <c r="A88" s="8" t="s">
        <v>39</v>
      </c>
      <c r="B88" s="3"/>
      <c r="E88" s="7" t="s">
        <v>38</v>
      </c>
    </row>
    <row r="89" spans="1:14" ht="5.0999999999999996" customHeight="1" x14ac:dyDescent="0.2">
      <c r="A89" s="5"/>
      <c r="B89" s="5"/>
    </row>
    <row r="90" spans="1:14" ht="37.5" customHeight="1" x14ac:dyDescent="0.25">
      <c r="A90" s="6" t="s">
        <v>37</v>
      </c>
      <c r="B90" s="3"/>
      <c r="E90" s="344" t="s">
        <v>36</v>
      </c>
      <c r="F90" s="345"/>
      <c r="G90" s="345"/>
      <c r="H90" s="345"/>
      <c r="I90" s="345"/>
      <c r="J90" s="345"/>
      <c r="K90" s="345"/>
      <c r="L90" s="345"/>
      <c r="M90" s="345"/>
      <c r="N90" s="345"/>
    </row>
    <row r="91" spans="1:14" ht="5.0999999999999996" customHeight="1" x14ac:dyDescent="0.2">
      <c r="A91" s="5"/>
      <c r="B91" s="5"/>
    </row>
    <row r="92" spans="1:14" ht="15.75" customHeight="1" x14ac:dyDescent="0.25">
      <c r="A92" s="3" t="s">
        <v>35</v>
      </c>
      <c r="B92" s="3"/>
      <c r="E92" s="2" t="s">
        <v>34</v>
      </c>
    </row>
    <row r="93" spans="1:14" ht="5.0999999999999996" customHeight="1" x14ac:dyDescent="0.2">
      <c r="A93" s="5"/>
      <c r="B93" s="5"/>
    </row>
    <row r="94" spans="1:14" ht="15.75" customHeight="1" x14ac:dyDescent="0.25">
      <c r="A94" s="3" t="s">
        <v>33</v>
      </c>
      <c r="B94" s="3"/>
      <c r="E94" s="2" t="s">
        <v>32</v>
      </c>
    </row>
    <row r="95" spans="1:14" ht="5.0999999999999996" customHeight="1" x14ac:dyDescent="0.2">
      <c r="A95" s="5"/>
      <c r="B95" s="5"/>
    </row>
    <row r="96" spans="1:14" ht="15.75" customHeight="1" x14ac:dyDescent="0.25">
      <c r="A96" s="3" t="s">
        <v>31</v>
      </c>
      <c r="B96" s="3"/>
      <c r="E96" s="2" t="s">
        <v>30</v>
      </c>
    </row>
    <row r="97" spans="1:5" ht="5.0999999999999996" customHeight="1" x14ac:dyDescent="0.2">
      <c r="A97" s="5"/>
      <c r="B97" s="5"/>
    </row>
    <row r="98" spans="1:5" ht="15.75" customHeight="1" x14ac:dyDescent="0.25">
      <c r="A98" s="3" t="s">
        <v>29</v>
      </c>
      <c r="B98" s="3"/>
      <c r="E98" s="2" t="s">
        <v>28</v>
      </c>
    </row>
    <row r="99" spans="1:5" ht="5.0999999999999996" customHeight="1" x14ac:dyDescent="0.2">
      <c r="A99" s="5"/>
      <c r="B99" s="5"/>
    </row>
    <row r="100" spans="1:5" ht="15.75" customHeight="1" x14ac:dyDescent="0.25">
      <c r="A100" s="4" t="s">
        <v>14</v>
      </c>
      <c r="B100" s="3"/>
      <c r="E100" s="2" t="s">
        <v>27</v>
      </c>
    </row>
  </sheetData>
  <mergeCells count="55">
    <mergeCell ref="C12:C13"/>
    <mergeCell ref="D12:D13"/>
    <mergeCell ref="E12:E13"/>
    <mergeCell ref="A4:N4"/>
    <mergeCell ref="A6:N6"/>
    <mergeCell ref="D7:I7"/>
    <mergeCell ref="C11:G11"/>
    <mergeCell ref="H11:K11"/>
    <mergeCell ref="B44:C44"/>
    <mergeCell ref="D44:F44"/>
    <mergeCell ref="G44:H44"/>
    <mergeCell ref="F12:F13"/>
    <mergeCell ref="G12:G13"/>
    <mergeCell ref="H12:H13"/>
    <mergeCell ref="A39:L41"/>
    <mergeCell ref="C42:I42"/>
    <mergeCell ref="B43:C43"/>
    <mergeCell ref="D43:F43"/>
    <mergeCell ref="G43:H43"/>
    <mergeCell ref="I12:I13"/>
    <mergeCell ref="J12:J13"/>
    <mergeCell ref="K12:K13"/>
    <mergeCell ref="A12:A13"/>
    <mergeCell ref="B12:B13"/>
    <mergeCell ref="A52:D52"/>
    <mergeCell ref="E52:I52"/>
    <mergeCell ref="B45:C45"/>
    <mergeCell ref="D45:F45"/>
    <mergeCell ref="G45:H45"/>
    <mergeCell ref="B46:C46"/>
    <mergeCell ref="D46:F46"/>
    <mergeCell ref="G46:H46"/>
    <mergeCell ref="B47:C47"/>
    <mergeCell ref="D47:F47"/>
    <mergeCell ref="G47:H47"/>
    <mergeCell ref="A49:D49"/>
    <mergeCell ref="E49:I49"/>
    <mergeCell ref="A53:D53"/>
    <mergeCell ref="F53:H53"/>
    <mergeCell ref="J53:M53"/>
    <mergeCell ref="B54:C54"/>
    <mergeCell ref="F54:I54"/>
    <mergeCell ref="J54:M54"/>
    <mergeCell ref="E90:N90"/>
    <mergeCell ref="A60:N60"/>
    <mergeCell ref="A62:C62"/>
    <mergeCell ref="E62:N62"/>
    <mergeCell ref="E64:I64"/>
    <mergeCell ref="A66:B66"/>
    <mergeCell ref="E66:I66"/>
    <mergeCell ref="E70:N70"/>
    <mergeCell ref="E72:N72"/>
    <mergeCell ref="E74:N74"/>
    <mergeCell ref="E76:N76"/>
    <mergeCell ref="E78:N78"/>
  </mergeCells>
  <pageMargins left="0.62992125984251968" right="0.62992125984251968" top="0.39370078740157483" bottom="0.23622047244094491" header="0" footer="0"/>
  <pageSetup scale="70" orientation="landscape" r:id="rId1"/>
  <headerFooter alignWithMargins="0">
    <oddFooter>&amp;R</oddFooter>
  </headerFooter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14</vt:i4>
      </vt:variant>
    </vt:vector>
  </HeadingPairs>
  <TitlesOfParts>
    <vt:vector size="28" baseType="lpstr">
      <vt:lpstr>ENERO 2021</vt:lpstr>
      <vt:lpstr> FEBRERO 2021</vt:lpstr>
      <vt:lpstr> MARZO 2021</vt:lpstr>
      <vt:lpstr>ABRIL 2021</vt:lpstr>
      <vt:lpstr>MAYO 2021</vt:lpstr>
      <vt:lpstr>MAYO 2021 OK</vt:lpstr>
      <vt:lpstr> JUNIO 2021</vt:lpstr>
      <vt:lpstr>JULIO 2021 SIN REPO</vt:lpstr>
      <vt:lpstr>JULIO 2021 CON REPO</vt:lpstr>
      <vt:lpstr>AGOSTO 2021</vt:lpstr>
      <vt:lpstr>SEPTIEMBRE 2021</vt:lpstr>
      <vt:lpstr>OCTUBRE 2021</vt:lpstr>
      <vt:lpstr>NOVIEMBRE 2021</vt:lpstr>
      <vt:lpstr>DICIEMBRE 2021</vt:lpstr>
      <vt:lpstr>' FEBRERO 2021'!Área_de_impresión</vt:lpstr>
      <vt:lpstr>' JUNIO 2021'!Área_de_impresión</vt:lpstr>
      <vt:lpstr>' MARZO 2021'!Área_de_impresión</vt:lpstr>
      <vt:lpstr>'ABRIL 2021'!Área_de_impresión</vt:lpstr>
      <vt:lpstr>'AGOSTO 2021'!Área_de_impresión</vt:lpstr>
      <vt:lpstr>'DICIEMBRE 2021'!Área_de_impresión</vt:lpstr>
      <vt:lpstr>'ENERO 2021'!Área_de_impresión</vt:lpstr>
      <vt:lpstr>'JULIO 2021 CON REPO'!Área_de_impresión</vt:lpstr>
      <vt:lpstr>'JULIO 2021 SIN REPO'!Área_de_impresión</vt:lpstr>
      <vt:lpstr>'MAYO 2021'!Área_de_impresión</vt:lpstr>
      <vt:lpstr>'MAYO 2021 OK'!Área_de_impresión</vt:lpstr>
      <vt:lpstr>'NOVIEMBRE 2021'!Área_de_impresión</vt:lpstr>
      <vt:lpstr>'OCTUBRE 2021'!Área_de_impresión</vt:lpstr>
      <vt:lpstr>'SEPTIEMBRE 2021'!Área_de_impresión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2022-01-11T17:54:17Z</dcterms:modified>
</cp:coreProperties>
</file>